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5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6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7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9.xml" ContentType="application/vnd.openxmlformats-officedocument.drawing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10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drawings/drawing11.xml" ContentType="application/vnd.openxmlformats-officedocument.drawing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drawings/drawing12.xml" ContentType="application/vnd.openxmlformats-officedocument.drawing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drawings/drawing13.xml" ContentType="application/vnd.openxmlformats-officedocument.drawing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drawings/drawing14.xml" ContentType="application/vnd.openxmlformats-officedocument.drawing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charts/chart82.xml" ContentType="application/vnd.openxmlformats-officedocument.drawingml.chart+xml"/>
  <Override PartName="/xl/charts/style82.xml" ContentType="application/vnd.ms-office.chartstyle+xml"/>
  <Override PartName="/xl/charts/colors82.xml" ContentType="application/vnd.ms-office.chartcolorstyle+xml"/>
  <Override PartName="/xl/drawings/drawing15.xml" ContentType="application/vnd.openxmlformats-officedocument.drawing+xml"/>
  <Override PartName="/xl/charts/chart83.xml" ContentType="application/vnd.openxmlformats-officedocument.drawingml.chart+xml"/>
  <Override PartName="/xl/charts/style83.xml" ContentType="application/vnd.ms-office.chartstyle+xml"/>
  <Override PartName="/xl/charts/colors83.xml" ContentType="application/vnd.ms-office.chartcolorstyle+xml"/>
  <Override PartName="/xl/charts/chart84.xml" ContentType="application/vnd.openxmlformats-officedocument.drawingml.chart+xml"/>
  <Override PartName="/xl/charts/style84.xml" ContentType="application/vnd.ms-office.chartstyle+xml"/>
  <Override PartName="/xl/charts/colors84.xml" ContentType="application/vnd.ms-office.chartcolorstyle+xml"/>
  <Override PartName="/xl/charts/chart85.xml" ContentType="application/vnd.openxmlformats-officedocument.drawingml.chart+xml"/>
  <Override PartName="/xl/charts/style85.xml" ContentType="application/vnd.ms-office.chartstyle+xml"/>
  <Override PartName="/xl/charts/colors85.xml" ContentType="application/vnd.ms-office.chartcolorstyle+xml"/>
  <Override PartName="/xl/charts/chart86.xml" ContentType="application/vnd.openxmlformats-officedocument.drawingml.chart+xml"/>
  <Override PartName="/xl/charts/style86.xml" ContentType="application/vnd.ms-office.chartstyle+xml"/>
  <Override PartName="/xl/charts/colors86.xml" ContentType="application/vnd.ms-office.chartcolorstyle+xml"/>
  <Override PartName="/xl/drawings/drawing16.xml" ContentType="application/vnd.openxmlformats-officedocument.drawing+xml"/>
  <Override PartName="/xl/charts/chart87.xml" ContentType="application/vnd.openxmlformats-officedocument.drawingml.chart+xml"/>
  <Override PartName="/xl/charts/style87.xml" ContentType="application/vnd.ms-office.chartstyle+xml"/>
  <Override PartName="/xl/charts/colors87.xml" ContentType="application/vnd.ms-office.chartcolorstyle+xml"/>
  <Override PartName="/xl/charts/chart88.xml" ContentType="application/vnd.openxmlformats-officedocument.drawingml.chart+xml"/>
  <Override PartName="/xl/charts/style88.xml" ContentType="application/vnd.ms-office.chartstyle+xml"/>
  <Override PartName="/xl/charts/colors88.xml" ContentType="application/vnd.ms-office.chartcolorstyle+xml"/>
  <Override PartName="/xl/charts/chart89.xml" ContentType="application/vnd.openxmlformats-officedocument.drawingml.chart+xml"/>
  <Override PartName="/xl/charts/style89.xml" ContentType="application/vnd.ms-office.chartstyle+xml"/>
  <Override PartName="/xl/charts/colors89.xml" ContentType="application/vnd.ms-office.chartcolorstyle+xml"/>
  <Override PartName="/xl/charts/chart90.xml" ContentType="application/vnd.openxmlformats-officedocument.drawingml.chart+xml"/>
  <Override PartName="/xl/charts/style90.xml" ContentType="application/vnd.ms-office.chartstyle+xml"/>
  <Override PartName="/xl/charts/colors90.xml" ContentType="application/vnd.ms-office.chartcolorstyle+xml"/>
  <Override PartName="/xl/drawings/drawing17.xml" ContentType="application/vnd.openxmlformats-officedocument.drawing+xml"/>
  <Override PartName="/xl/charts/chart91.xml" ContentType="application/vnd.openxmlformats-officedocument.drawingml.chart+xml"/>
  <Override PartName="/xl/charts/style91.xml" ContentType="application/vnd.ms-office.chartstyle+xml"/>
  <Override PartName="/xl/charts/colors91.xml" ContentType="application/vnd.ms-office.chartcolorstyle+xml"/>
  <Override PartName="/xl/charts/chart92.xml" ContentType="application/vnd.openxmlformats-officedocument.drawingml.chart+xml"/>
  <Override PartName="/xl/charts/style92.xml" ContentType="application/vnd.ms-office.chartstyle+xml"/>
  <Override PartName="/xl/charts/colors92.xml" ContentType="application/vnd.ms-office.chartcolorstyle+xml"/>
  <Override PartName="/xl/charts/chart93.xml" ContentType="application/vnd.openxmlformats-officedocument.drawingml.chart+xml"/>
  <Override PartName="/xl/charts/style93.xml" ContentType="application/vnd.ms-office.chartstyle+xml"/>
  <Override PartName="/xl/charts/colors93.xml" ContentType="application/vnd.ms-office.chartcolorstyle+xml"/>
  <Override PartName="/xl/charts/chart94.xml" ContentType="application/vnd.openxmlformats-officedocument.drawingml.chart+xml"/>
  <Override PartName="/xl/charts/style94.xml" ContentType="application/vnd.ms-office.chartstyle+xml"/>
  <Override PartName="/xl/charts/colors94.xml" ContentType="application/vnd.ms-office.chartcolorstyle+xml"/>
  <Override PartName="/xl/charts/chart95.xml" ContentType="application/vnd.openxmlformats-officedocument.drawingml.chart+xml"/>
  <Override PartName="/xl/charts/style95.xml" ContentType="application/vnd.ms-office.chartstyle+xml"/>
  <Override PartName="/xl/charts/colors95.xml" ContentType="application/vnd.ms-office.chartcolorstyle+xml"/>
  <Override PartName="/xl/charts/chart96.xml" ContentType="application/vnd.openxmlformats-officedocument.drawingml.chart+xml"/>
  <Override PartName="/xl/charts/style96.xml" ContentType="application/vnd.ms-office.chartstyle+xml"/>
  <Override PartName="/xl/charts/colors96.xml" ContentType="application/vnd.ms-office.chartcolorstyle+xml"/>
  <Override PartName="/xl/drawings/drawing18.xml" ContentType="application/vnd.openxmlformats-officedocument.drawing+xml"/>
  <Override PartName="/xl/charts/chart97.xml" ContentType="application/vnd.openxmlformats-officedocument.drawingml.chart+xml"/>
  <Override PartName="/xl/charts/style97.xml" ContentType="application/vnd.ms-office.chartstyle+xml"/>
  <Override PartName="/xl/charts/colors97.xml" ContentType="application/vnd.ms-office.chartcolorstyle+xml"/>
  <Override PartName="/xl/charts/chart98.xml" ContentType="application/vnd.openxmlformats-officedocument.drawingml.chart+xml"/>
  <Override PartName="/xl/charts/style98.xml" ContentType="application/vnd.ms-office.chartstyle+xml"/>
  <Override PartName="/xl/charts/colors98.xml" ContentType="application/vnd.ms-office.chartcolorstyle+xml"/>
  <Override PartName="/xl/charts/chart99.xml" ContentType="application/vnd.openxmlformats-officedocument.drawingml.chart+xml"/>
  <Override PartName="/xl/charts/style99.xml" ContentType="application/vnd.ms-office.chartstyle+xml"/>
  <Override PartName="/xl/charts/colors99.xml" ContentType="application/vnd.ms-office.chartcolorstyle+xml"/>
  <Override PartName="/xl/charts/chart100.xml" ContentType="application/vnd.openxmlformats-officedocument.drawingml.chart+xml"/>
  <Override PartName="/xl/charts/style100.xml" ContentType="application/vnd.ms-office.chartstyle+xml"/>
  <Override PartName="/xl/charts/colors100.xml" ContentType="application/vnd.ms-office.chartcolorstyle+xml"/>
  <Override PartName="/xl/charts/chart101.xml" ContentType="application/vnd.openxmlformats-officedocument.drawingml.chart+xml"/>
  <Override PartName="/xl/charts/style101.xml" ContentType="application/vnd.ms-office.chartstyle+xml"/>
  <Override PartName="/xl/charts/colors101.xml" ContentType="application/vnd.ms-office.chartcolorstyle+xml"/>
  <Override PartName="/xl/charts/chart102.xml" ContentType="application/vnd.openxmlformats-officedocument.drawingml.chart+xml"/>
  <Override PartName="/xl/charts/style102.xml" ContentType="application/vnd.ms-office.chartstyle+xml"/>
  <Override PartName="/xl/charts/colors102.xml" ContentType="application/vnd.ms-office.chartcolorstyle+xml"/>
  <Override PartName="/xl/drawings/drawing19.xml" ContentType="application/vnd.openxmlformats-officedocument.drawing+xml"/>
  <Override PartName="/xl/charts/chart103.xml" ContentType="application/vnd.openxmlformats-officedocument.drawingml.chart+xml"/>
  <Override PartName="/xl/charts/style103.xml" ContentType="application/vnd.ms-office.chartstyle+xml"/>
  <Override PartName="/xl/charts/colors103.xml" ContentType="application/vnd.ms-office.chartcolorstyle+xml"/>
  <Override PartName="/xl/charts/chart104.xml" ContentType="application/vnd.openxmlformats-officedocument.drawingml.chart+xml"/>
  <Override PartName="/xl/charts/style104.xml" ContentType="application/vnd.ms-office.chartstyle+xml"/>
  <Override PartName="/xl/charts/colors104.xml" ContentType="application/vnd.ms-office.chartcolorstyle+xml"/>
  <Override PartName="/xl/charts/chart105.xml" ContentType="application/vnd.openxmlformats-officedocument.drawingml.chart+xml"/>
  <Override PartName="/xl/charts/style105.xml" ContentType="application/vnd.ms-office.chartstyle+xml"/>
  <Override PartName="/xl/charts/colors105.xml" ContentType="application/vnd.ms-office.chartcolorstyle+xml"/>
  <Override PartName="/xl/charts/chart106.xml" ContentType="application/vnd.openxmlformats-officedocument.drawingml.chart+xml"/>
  <Override PartName="/xl/charts/style106.xml" ContentType="application/vnd.ms-office.chartstyle+xml"/>
  <Override PartName="/xl/charts/colors106.xml" ContentType="application/vnd.ms-office.chartcolorstyle+xml"/>
  <Override PartName="/xl/charts/chart107.xml" ContentType="application/vnd.openxmlformats-officedocument.drawingml.chart+xml"/>
  <Override PartName="/xl/charts/style107.xml" ContentType="application/vnd.ms-office.chartstyle+xml"/>
  <Override PartName="/xl/charts/colors107.xml" ContentType="application/vnd.ms-office.chartcolorstyle+xml"/>
  <Override PartName="/xl/charts/chart108.xml" ContentType="application/vnd.openxmlformats-officedocument.drawingml.chart+xml"/>
  <Override PartName="/xl/charts/style108.xml" ContentType="application/vnd.ms-office.chartstyle+xml"/>
  <Override PartName="/xl/charts/colors108.xml" ContentType="application/vnd.ms-office.chartcolorstyle+xml"/>
  <Override PartName="/xl/drawings/drawing20.xml" ContentType="application/vnd.openxmlformats-officedocument.drawing+xml"/>
  <Override PartName="/xl/charts/chart109.xml" ContentType="application/vnd.openxmlformats-officedocument.drawingml.chart+xml"/>
  <Override PartName="/xl/charts/style109.xml" ContentType="application/vnd.ms-office.chartstyle+xml"/>
  <Override PartName="/xl/charts/colors109.xml" ContentType="application/vnd.ms-office.chartcolorstyle+xml"/>
  <Override PartName="/xl/charts/chart110.xml" ContentType="application/vnd.openxmlformats-officedocument.drawingml.chart+xml"/>
  <Override PartName="/xl/charts/style110.xml" ContentType="application/vnd.ms-office.chartstyle+xml"/>
  <Override PartName="/xl/charts/colors110.xml" ContentType="application/vnd.ms-office.chartcolorstyle+xml"/>
  <Override PartName="/xl/charts/chart111.xml" ContentType="application/vnd.openxmlformats-officedocument.drawingml.chart+xml"/>
  <Override PartName="/xl/charts/style111.xml" ContentType="application/vnd.ms-office.chartstyle+xml"/>
  <Override PartName="/xl/charts/colors111.xml" ContentType="application/vnd.ms-office.chartcolorstyle+xml"/>
  <Override PartName="/xl/charts/chart112.xml" ContentType="application/vnd.openxmlformats-officedocument.drawingml.chart+xml"/>
  <Override PartName="/xl/charts/style112.xml" ContentType="application/vnd.ms-office.chartstyle+xml"/>
  <Override PartName="/xl/charts/colors112.xml" ContentType="application/vnd.ms-office.chartcolorstyle+xml"/>
  <Override PartName="/xl/drawings/drawing21.xml" ContentType="application/vnd.openxmlformats-officedocument.drawing+xml"/>
  <Override PartName="/xl/charts/chart113.xml" ContentType="application/vnd.openxmlformats-officedocument.drawingml.chart+xml"/>
  <Override PartName="/xl/charts/style113.xml" ContentType="application/vnd.ms-office.chartstyle+xml"/>
  <Override PartName="/xl/charts/colors113.xml" ContentType="application/vnd.ms-office.chartcolorstyle+xml"/>
  <Override PartName="/xl/charts/chart114.xml" ContentType="application/vnd.openxmlformats-officedocument.drawingml.chart+xml"/>
  <Override PartName="/xl/charts/style114.xml" ContentType="application/vnd.ms-office.chartstyle+xml"/>
  <Override PartName="/xl/charts/colors114.xml" ContentType="application/vnd.ms-office.chartcolorstyle+xml"/>
  <Override PartName="/xl/charts/chart115.xml" ContentType="application/vnd.openxmlformats-officedocument.drawingml.chart+xml"/>
  <Override PartName="/xl/charts/style115.xml" ContentType="application/vnd.ms-office.chartstyle+xml"/>
  <Override PartName="/xl/charts/colors115.xml" ContentType="application/vnd.ms-office.chartcolorstyle+xml"/>
  <Override PartName="/xl/charts/chart116.xml" ContentType="application/vnd.openxmlformats-officedocument.drawingml.chart+xml"/>
  <Override PartName="/xl/charts/style116.xml" ContentType="application/vnd.ms-office.chartstyle+xml"/>
  <Override PartName="/xl/charts/colors116.xml" ContentType="application/vnd.ms-office.chartcolorstyle+xml"/>
  <Override PartName="/xl/drawings/drawing22.xml" ContentType="application/vnd.openxmlformats-officedocument.drawing+xml"/>
  <Override PartName="/xl/charts/chart117.xml" ContentType="application/vnd.openxmlformats-officedocument.drawingml.chart+xml"/>
  <Override PartName="/xl/charts/style117.xml" ContentType="application/vnd.ms-office.chartstyle+xml"/>
  <Override PartName="/xl/charts/colors117.xml" ContentType="application/vnd.ms-office.chartcolorstyle+xml"/>
  <Override PartName="/xl/charts/chart118.xml" ContentType="application/vnd.openxmlformats-officedocument.drawingml.chart+xml"/>
  <Override PartName="/xl/charts/style118.xml" ContentType="application/vnd.ms-office.chartstyle+xml"/>
  <Override PartName="/xl/charts/colors118.xml" ContentType="application/vnd.ms-office.chartcolorstyle+xml"/>
  <Override PartName="/xl/charts/chart119.xml" ContentType="application/vnd.openxmlformats-officedocument.drawingml.chart+xml"/>
  <Override PartName="/xl/charts/style119.xml" ContentType="application/vnd.ms-office.chartstyle+xml"/>
  <Override PartName="/xl/charts/colors119.xml" ContentType="application/vnd.ms-office.chartcolorstyle+xml"/>
  <Override PartName="/xl/charts/chart120.xml" ContentType="application/vnd.openxmlformats-officedocument.drawingml.chart+xml"/>
  <Override PartName="/xl/charts/style120.xml" ContentType="application/vnd.ms-office.chartstyle+xml"/>
  <Override PartName="/xl/charts/colors120.xml" ContentType="application/vnd.ms-office.chartcolorstyle+xml"/>
  <Override PartName="/xl/drawings/drawing23.xml" ContentType="application/vnd.openxmlformats-officedocument.drawing+xml"/>
  <Override PartName="/xl/charts/chart121.xml" ContentType="application/vnd.openxmlformats-officedocument.drawingml.chart+xml"/>
  <Override PartName="/xl/charts/style121.xml" ContentType="application/vnd.ms-office.chartstyle+xml"/>
  <Override PartName="/xl/charts/colors121.xml" ContentType="application/vnd.ms-office.chartcolorstyle+xml"/>
  <Override PartName="/xl/charts/chart122.xml" ContentType="application/vnd.openxmlformats-officedocument.drawingml.chart+xml"/>
  <Override PartName="/xl/charts/style122.xml" ContentType="application/vnd.ms-office.chartstyle+xml"/>
  <Override PartName="/xl/charts/colors122.xml" ContentType="application/vnd.ms-office.chartcolorstyle+xml"/>
  <Override PartName="/xl/charts/chart123.xml" ContentType="application/vnd.openxmlformats-officedocument.drawingml.chart+xml"/>
  <Override PartName="/xl/charts/style123.xml" ContentType="application/vnd.ms-office.chartstyle+xml"/>
  <Override PartName="/xl/charts/colors123.xml" ContentType="application/vnd.ms-office.chartcolorstyle+xml"/>
  <Override PartName="/xl/charts/chart124.xml" ContentType="application/vnd.openxmlformats-officedocument.drawingml.chart+xml"/>
  <Override PartName="/xl/charts/style124.xml" ContentType="application/vnd.ms-office.chartstyle+xml"/>
  <Override PartName="/xl/charts/colors124.xml" ContentType="application/vnd.ms-office.chartcolorstyle+xml"/>
  <Override PartName="/xl/charts/chart125.xml" ContentType="application/vnd.openxmlformats-officedocument.drawingml.chart+xml"/>
  <Override PartName="/xl/charts/style125.xml" ContentType="application/vnd.ms-office.chartstyle+xml"/>
  <Override PartName="/xl/charts/colors12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enny\Documents\Cambridge\collagen_fibrinogen_paper\systematicstudy\CROSSLINKINGCONCENTRATION\"/>
    </mc:Choice>
  </mc:AlternateContent>
  <bookViews>
    <workbookView xWindow="0" yWindow="0" windowWidth="15360" windowHeight="7755" firstSheet="19" activeTab="22"/>
  </bookViews>
  <sheets>
    <sheet name="1_100percent" sheetId="1" r:id="rId1"/>
    <sheet name="1_9010" sheetId="2" r:id="rId2"/>
    <sheet name="1_7525" sheetId="3" r:id="rId3"/>
    <sheet name="1_5050" sheetId="22" r:id="rId4"/>
    <sheet name="10_100percent" sheetId="15" r:id="rId5"/>
    <sheet name="10_9010" sheetId="6" r:id="rId6"/>
    <sheet name="10_7525" sheetId="17" r:id="rId7"/>
    <sheet name="10_5050" sheetId="16" r:id="rId8"/>
    <sheet name="30_100percent" sheetId="4" r:id="rId9"/>
    <sheet name="30_7525" sheetId="5" r:id="rId10"/>
    <sheet name="30_9010" sheetId="7" r:id="rId11"/>
    <sheet name="30_5050" sheetId="19" r:id="rId12"/>
    <sheet name="50_100" sheetId="8" r:id="rId13"/>
    <sheet name="50_9010" sheetId="10" r:id="rId14"/>
    <sheet name="50_7525" sheetId="9" r:id="rId15"/>
    <sheet name="50_5050" sheetId="18" r:id="rId16"/>
    <sheet name="100_100" sheetId="23" r:id="rId17"/>
    <sheet name="100_9010" sheetId="12" r:id="rId18"/>
    <sheet name="100_7525" sheetId="13" r:id="rId19"/>
    <sheet name="100_5050" sheetId="14" r:id="rId20"/>
    <sheet name="Summary" sheetId="11" r:id="rId21"/>
    <sheet name="Pore size analysis" sheetId="20" r:id="rId22"/>
    <sheet name="Percentage porosity" sheetId="21" r:id="rId2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7" i="21" l="1"/>
  <c r="T7" i="21"/>
  <c r="S7" i="21"/>
  <c r="R7" i="21"/>
  <c r="Q7" i="21"/>
  <c r="P7" i="21"/>
  <c r="O7" i="21"/>
  <c r="N7" i="21"/>
  <c r="M7" i="21"/>
  <c r="L7" i="21"/>
  <c r="K7" i="21"/>
  <c r="J7" i="21"/>
  <c r="I7" i="21"/>
  <c r="H7" i="21"/>
  <c r="G7" i="21"/>
  <c r="F7" i="21"/>
  <c r="E7" i="21"/>
  <c r="D7" i="21"/>
  <c r="C7" i="21"/>
  <c r="B7" i="21"/>
  <c r="U6" i="21"/>
  <c r="T6" i="21"/>
  <c r="S6" i="21"/>
  <c r="R6" i="21"/>
  <c r="Q6" i="21"/>
  <c r="P6" i="21"/>
  <c r="O6" i="21"/>
  <c r="N6" i="21"/>
  <c r="M6" i="21"/>
  <c r="L6" i="21"/>
  <c r="K6" i="21"/>
  <c r="J6" i="21"/>
  <c r="H6" i="21"/>
  <c r="G6" i="21"/>
  <c r="F6" i="21"/>
  <c r="E6" i="21"/>
  <c r="D6" i="21"/>
  <c r="C6" i="21"/>
  <c r="B6" i="21"/>
  <c r="U5" i="21"/>
  <c r="T5" i="21"/>
  <c r="R5" i="21"/>
  <c r="Q5" i="21"/>
  <c r="P5" i="21"/>
  <c r="O5" i="21"/>
  <c r="N5" i="21"/>
  <c r="M5" i="21"/>
  <c r="L5" i="21"/>
  <c r="K5" i="21"/>
  <c r="J5" i="21"/>
  <c r="I5" i="21"/>
  <c r="H5" i="21"/>
  <c r="G5" i="21"/>
  <c r="F5" i="21"/>
  <c r="E5" i="21"/>
  <c r="D5" i="21"/>
  <c r="C5" i="21"/>
  <c r="B5" i="21"/>
  <c r="U4" i="21"/>
  <c r="T4" i="21"/>
  <c r="S4" i="21"/>
  <c r="R4" i="21"/>
  <c r="Q4" i="21"/>
  <c r="P4" i="21"/>
  <c r="O4" i="21"/>
  <c r="N4" i="21"/>
  <c r="M4" i="21"/>
  <c r="L4" i="21"/>
  <c r="K4" i="21"/>
  <c r="J4" i="21"/>
  <c r="I4" i="21"/>
  <c r="H4" i="21"/>
  <c r="G4" i="21"/>
  <c r="F4" i="21"/>
  <c r="E4" i="21"/>
  <c r="D4" i="21"/>
  <c r="C4" i="21"/>
  <c r="B4" i="21"/>
  <c r="U3" i="21"/>
  <c r="T3" i="21"/>
  <c r="S3" i="21"/>
  <c r="R3" i="21"/>
  <c r="Q3" i="21"/>
  <c r="P3" i="21"/>
  <c r="O3" i="21"/>
  <c r="N3" i="21"/>
  <c r="M3" i="21"/>
  <c r="L3" i="21"/>
  <c r="K3" i="21"/>
  <c r="J3" i="21"/>
  <c r="I3" i="21"/>
  <c r="H3" i="21"/>
  <c r="G3" i="21"/>
  <c r="F3" i="21"/>
  <c r="E3" i="21"/>
  <c r="D3" i="21"/>
  <c r="C3" i="21"/>
  <c r="B3" i="21"/>
  <c r="F41" i="20"/>
  <c r="F40" i="20"/>
  <c r="F39" i="20"/>
  <c r="F38" i="20"/>
  <c r="F3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B7" i="20"/>
  <c r="U6" i="20"/>
  <c r="T6" i="20"/>
  <c r="R6" i="20"/>
  <c r="Q6" i="20"/>
  <c r="P6" i="20"/>
  <c r="O6" i="20"/>
  <c r="N6" i="20"/>
  <c r="M6" i="20"/>
  <c r="L6" i="20"/>
  <c r="K6" i="20"/>
  <c r="J6" i="20"/>
  <c r="H6" i="20"/>
  <c r="G6" i="20"/>
  <c r="F6" i="20"/>
  <c r="E6" i="20"/>
  <c r="D6" i="20"/>
  <c r="C6" i="20"/>
  <c r="B6" i="20"/>
  <c r="U5" i="20"/>
  <c r="T5" i="20"/>
  <c r="R5" i="20"/>
  <c r="Q5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B5" i="20"/>
  <c r="U4" i="20"/>
  <c r="T4" i="20"/>
  <c r="S4" i="20"/>
  <c r="R4" i="20"/>
  <c r="Q4" i="20"/>
  <c r="P4" i="20"/>
  <c r="O4" i="20"/>
  <c r="N4" i="20"/>
  <c r="M4" i="20"/>
  <c r="L4" i="20"/>
  <c r="K4" i="20"/>
  <c r="J4" i="20"/>
  <c r="I4" i="20"/>
  <c r="H4" i="20"/>
  <c r="G4" i="20"/>
  <c r="F4" i="20"/>
  <c r="E4" i="20"/>
  <c r="D4" i="20"/>
  <c r="C4" i="20"/>
  <c r="B4" i="20"/>
  <c r="U3" i="20"/>
  <c r="T3" i="20"/>
  <c r="S3" i="20"/>
  <c r="R3" i="20"/>
  <c r="Q3" i="20"/>
  <c r="P3" i="20"/>
  <c r="O3" i="20"/>
  <c r="N3" i="20"/>
  <c r="M3" i="20"/>
  <c r="L3" i="20"/>
  <c r="K3" i="20"/>
  <c r="J3" i="20"/>
  <c r="I3" i="20"/>
  <c r="H3" i="20"/>
  <c r="G3" i="20"/>
  <c r="F3" i="20"/>
  <c r="E3" i="20"/>
  <c r="D3" i="20"/>
  <c r="C3" i="20"/>
  <c r="B3" i="20"/>
  <c r="C14" i="11"/>
  <c r="V10" i="11"/>
  <c r="U10" i="11"/>
  <c r="T10" i="11"/>
  <c r="S10" i="11"/>
  <c r="Q10" i="11"/>
  <c r="P10" i="11"/>
  <c r="O10" i="11"/>
  <c r="M10" i="11"/>
  <c r="L10" i="11"/>
  <c r="K10" i="11"/>
  <c r="J10" i="11"/>
  <c r="I10" i="11"/>
  <c r="H10" i="11"/>
  <c r="G10" i="11"/>
  <c r="E10" i="11"/>
  <c r="D10" i="11"/>
  <c r="C10" i="11"/>
  <c r="B10" i="11"/>
  <c r="V9" i="11"/>
  <c r="U9" i="11"/>
  <c r="T9" i="11"/>
  <c r="S9" i="11"/>
  <c r="Q9" i="11"/>
  <c r="P9" i="11"/>
  <c r="O9" i="11"/>
  <c r="M9" i="11"/>
  <c r="L9" i="11"/>
  <c r="K9" i="11"/>
  <c r="J9" i="11"/>
  <c r="I9" i="11"/>
  <c r="H9" i="11"/>
  <c r="G9" i="11"/>
  <c r="E9" i="11"/>
  <c r="D9" i="11"/>
  <c r="C9" i="11"/>
  <c r="B9" i="11"/>
  <c r="F63" i="14"/>
  <c r="E63" i="14"/>
  <c r="C63" i="14"/>
  <c r="F62" i="14"/>
  <c r="E62" i="14"/>
  <c r="C62" i="14"/>
  <c r="F61" i="14"/>
  <c r="E61" i="14"/>
  <c r="C61" i="14"/>
  <c r="F60" i="14"/>
  <c r="E60" i="14"/>
  <c r="C60" i="14"/>
  <c r="F59" i="14"/>
  <c r="E59" i="14"/>
  <c r="C59" i="14"/>
  <c r="F58" i="14"/>
  <c r="E58" i="14"/>
  <c r="C58" i="14"/>
  <c r="F57" i="14"/>
  <c r="E57" i="14"/>
  <c r="C57" i="14"/>
  <c r="F56" i="14"/>
  <c r="E56" i="14"/>
  <c r="C56" i="14"/>
  <c r="F55" i="14"/>
  <c r="E55" i="14"/>
  <c r="C55" i="14"/>
  <c r="F54" i="14"/>
  <c r="E54" i="14"/>
  <c r="C54" i="14"/>
  <c r="F45" i="14"/>
  <c r="E45" i="14"/>
  <c r="C45" i="14"/>
  <c r="F44" i="14"/>
  <c r="E44" i="14"/>
  <c r="C44" i="14"/>
  <c r="F43" i="14"/>
  <c r="E43" i="14"/>
  <c r="C43" i="14"/>
  <c r="F42" i="14"/>
  <c r="E42" i="14"/>
  <c r="C42" i="14"/>
  <c r="F41" i="14"/>
  <c r="E41" i="14"/>
  <c r="C41" i="14"/>
  <c r="F40" i="14"/>
  <c r="E40" i="14"/>
  <c r="C40" i="14"/>
  <c r="F39" i="14"/>
  <c r="E39" i="14"/>
  <c r="C39" i="14"/>
  <c r="F38" i="14"/>
  <c r="E38" i="14"/>
  <c r="C38" i="14"/>
  <c r="F37" i="14"/>
  <c r="E37" i="14"/>
  <c r="C37" i="14"/>
  <c r="F36" i="14"/>
  <c r="E36" i="14"/>
  <c r="C36" i="14"/>
  <c r="F28" i="14"/>
  <c r="E28" i="14"/>
  <c r="C28" i="14"/>
  <c r="F27" i="14"/>
  <c r="E27" i="14"/>
  <c r="C27" i="14"/>
  <c r="F26" i="14"/>
  <c r="E26" i="14"/>
  <c r="C26" i="14"/>
  <c r="F25" i="14"/>
  <c r="E25" i="14"/>
  <c r="C25" i="14"/>
  <c r="F24" i="14"/>
  <c r="E24" i="14"/>
  <c r="C24" i="14"/>
  <c r="F23" i="14"/>
  <c r="E23" i="14"/>
  <c r="C23" i="14"/>
  <c r="F22" i="14"/>
  <c r="E22" i="14"/>
  <c r="C22" i="14"/>
  <c r="F21" i="14"/>
  <c r="E21" i="14"/>
  <c r="C21" i="14"/>
  <c r="F20" i="14"/>
  <c r="E20" i="14"/>
  <c r="C20" i="14"/>
  <c r="F19" i="14"/>
  <c r="E19" i="14"/>
  <c r="C19" i="14"/>
  <c r="F12" i="14"/>
  <c r="E12" i="14"/>
  <c r="C12" i="14"/>
  <c r="F11" i="14"/>
  <c r="E11" i="14"/>
  <c r="C11" i="14"/>
  <c r="Q10" i="14"/>
  <c r="F10" i="14"/>
  <c r="E10" i="14"/>
  <c r="C10" i="14"/>
  <c r="Q9" i="14"/>
  <c r="F9" i="14"/>
  <c r="E9" i="14"/>
  <c r="C9" i="14"/>
  <c r="F8" i="14"/>
  <c r="E8" i="14"/>
  <c r="C8" i="14"/>
  <c r="F7" i="14"/>
  <c r="E7" i="14"/>
  <c r="C7" i="14"/>
  <c r="F6" i="14"/>
  <c r="E6" i="14"/>
  <c r="C6" i="14"/>
  <c r="F5" i="14"/>
  <c r="E5" i="14"/>
  <c r="C5" i="14"/>
  <c r="F4" i="14"/>
  <c r="E4" i="14"/>
  <c r="C4" i="14"/>
  <c r="F3" i="14"/>
  <c r="E3" i="14"/>
  <c r="C3" i="14"/>
  <c r="F90" i="13"/>
  <c r="E90" i="13"/>
  <c r="C90" i="13"/>
  <c r="F89" i="13"/>
  <c r="E89" i="13"/>
  <c r="C89" i="13"/>
  <c r="F88" i="13"/>
  <c r="E88" i="13"/>
  <c r="C88" i="13"/>
  <c r="F87" i="13"/>
  <c r="E87" i="13"/>
  <c r="C87" i="13"/>
  <c r="F86" i="13"/>
  <c r="E86" i="13"/>
  <c r="C86" i="13"/>
  <c r="F85" i="13"/>
  <c r="E85" i="13"/>
  <c r="C85" i="13"/>
  <c r="F84" i="13"/>
  <c r="E84" i="13"/>
  <c r="C84" i="13"/>
  <c r="F83" i="13"/>
  <c r="E83" i="13"/>
  <c r="C83" i="13"/>
  <c r="F82" i="13"/>
  <c r="E82" i="13"/>
  <c r="C82" i="13"/>
  <c r="F81" i="13"/>
  <c r="E81" i="13"/>
  <c r="C81" i="13"/>
  <c r="F74" i="13"/>
  <c r="E74" i="13"/>
  <c r="C74" i="13"/>
  <c r="F73" i="13"/>
  <c r="E73" i="13"/>
  <c r="C73" i="13"/>
  <c r="F72" i="13"/>
  <c r="E72" i="13"/>
  <c r="C72" i="13"/>
  <c r="F71" i="13"/>
  <c r="E71" i="13"/>
  <c r="C71" i="13"/>
  <c r="F70" i="13"/>
  <c r="E70" i="13"/>
  <c r="C70" i="13"/>
  <c r="F69" i="13"/>
  <c r="E69" i="13"/>
  <c r="C69" i="13"/>
  <c r="F68" i="13"/>
  <c r="E68" i="13"/>
  <c r="C68" i="13"/>
  <c r="F67" i="13"/>
  <c r="E67" i="13"/>
  <c r="C67" i="13"/>
  <c r="F66" i="13"/>
  <c r="E66" i="13"/>
  <c r="C66" i="13"/>
  <c r="F65" i="13"/>
  <c r="E65" i="13"/>
  <c r="C65" i="13"/>
  <c r="F59" i="13"/>
  <c r="E59" i="13"/>
  <c r="C59" i="13"/>
  <c r="F58" i="13"/>
  <c r="E58" i="13"/>
  <c r="C58" i="13"/>
  <c r="F57" i="13"/>
  <c r="E57" i="13"/>
  <c r="C57" i="13"/>
  <c r="F56" i="13"/>
  <c r="E56" i="13"/>
  <c r="C56" i="13"/>
  <c r="F55" i="13"/>
  <c r="E55" i="13"/>
  <c r="C55" i="13"/>
  <c r="F54" i="13"/>
  <c r="E54" i="13"/>
  <c r="C54" i="13"/>
  <c r="F53" i="13"/>
  <c r="E53" i="13"/>
  <c r="C53" i="13"/>
  <c r="F52" i="13"/>
  <c r="E52" i="13"/>
  <c r="C52" i="13"/>
  <c r="F51" i="13"/>
  <c r="E51" i="13"/>
  <c r="C51" i="13"/>
  <c r="F50" i="13"/>
  <c r="E50" i="13"/>
  <c r="C50" i="13"/>
  <c r="F44" i="13"/>
  <c r="E44" i="13"/>
  <c r="C44" i="13"/>
  <c r="F43" i="13"/>
  <c r="E43" i="13"/>
  <c r="C43" i="13"/>
  <c r="F42" i="13"/>
  <c r="E42" i="13"/>
  <c r="C42" i="13"/>
  <c r="F41" i="13"/>
  <c r="E41" i="13"/>
  <c r="C41" i="13"/>
  <c r="F40" i="13"/>
  <c r="E40" i="13"/>
  <c r="C40" i="13"/>
  <c r="F39" i="13"/>
  <c r="E39" i="13"/>
  <c r="C39" i="13"/>
  <c r="F38" i="13"/>
  <c r="E38" i="13"/>
  <c r="C38" i="13"/>
  <c r="F37" i="13"/>
  <c r="E37" i="13"/>
  <c r="C37" i="13"/>
  <c r="F36" i="13"/>
  <c r="E36" i="13"/>
  <c r="C36" i="13"/>
  <c r="F35" i="13"/>
  <c r="E35" i="13"/>
  <c r="C35" i="13"/>
  <c r="F29" i="13"/>
  <c r="E29" i="13"/>
  <c r="C29" i="13"/>
  <c r="F28" i="13"/>
  <c r="E28" i="13"/>
  <c r="C28" i="13"/>
  <c r="F27" i="13"/>
  <c r="E27" i="13"/>
  <c r="C27" i="13"/>
  <c r="F26" i="13"/>
  <c r="E26" i="13"/>
  <c r="C26" i="13"/>
  <c r="F25" i="13"/>
  <c r="E25" i="13"/>
  <c r="C25" i="13"/>
  <c r="F24" i="13"/>
  <c r="E24" i="13"/>
  <c r="C24" i="13"/>
  <c r="F23" i="13"/>
  <c r="E23" i="13"/>
  <c r="C23" i="13"/>
  <c r="F22" i="13"/>
  <c r="E22" i="13"/>
  <c r="C22" i="13"/>
  <c r="F21" i="13"/>
  <c r="E21" i="13"/>
  <c r="C21" i="13"/>
  <c r="F20" i="13"/>
  <c r="E20" i="13"/>
  <c r="C20" i="13"/>
  <c r="F12" i="13"/>
  <c r="E12" i="13"/>
  <c r="C12" i="13"/>
  <c r="F11" i="13"/>
  <c r="E11" i="13"/>
  <c r="C11" i="13"/>
  <c r="Q10" i="13"/>
  <c r="F10" i="13"/>
  <c r="E10" i="13"/>
  <c r="C10" i="13"/>
  <c r="Q9" i="13"/>
  <c r="F9" i="13"/>
  <c r="E9" i="13"/>
  <c r="C9" i="13"/>
  <c r="F8" i="13"/>
  <c r="E8" i="13"/>
  <c r="C8" i="13"/>
  <c r="F7" i="13"/>
  <c r="E7" i="13"/>
  <c r="C7" i="13"/>
  <c r="F6" i="13"/>
  <c r="E6" i="13"/>
  <c r="C6" i="13"/>
  <c r="F5" i="13"/>
  <c r="E5" i="13"/>
  <c r="C5" i="13"/>
  <c r="F4" i="13"/>
  <c r="E4" i="13"/>
  <c r="C4" i="13"/>
  <c r="F3" i="13"/>
  <c r="E3" i="13"/>
  <c r="C3" i="13"/>
  <c r="F91" i="12"/>
  <c r="E91" i="12"/>
  <c r="C91" i="12"/>
  <c r="F90" i="12"/>
  <c r="E90" i="12"/>
  <c r="C90" i="12"/>
  <c r="F89" i="12"/>
  <c r="E89" i="12"/>
  <c r="C89" i="12"/>
  <c r="F88" i="12"/>
  <c r="E88" i="12"/>
  <c r="C88" i="12"/>
  <c r="F87" i="12"/>
  <c r="E87" i="12"/>
  <c r="C87" i="12"/>
  <c r="F86" i="12"/>
  <c r="E86" i="12"/>
  <c r="C86" i="12"/>
  <c r="F85" i="12"/>
  <c r="E85" i="12"/>
  <c r="C85" i="12"/>
  <c r="F84" i="12"/>
  <c r="E84" i="12"/>
  <c r="C84" i="12"/>
  <c r="F83" i="12"/>
  <c r="E83" i="12"/>
  <c r="C83" i="12"/>
  <c r="F82" i="12"/>
  <c r="E82" i="12"/>
  <c r="C82" i="12"/>
  <c r="F75" i="12"/>
  <c r="E75" i="12"/>
  <c r="C75" i="12"/>
  <c r="F74" i="12"/>
  <c r="E74" i="12"/>
  <c r="C74" i="12"/>
  <c r="F73" i="12"/>
  <c r="E73" i="12"/>
  <c r="C73" i="12"/>
  <c r="F72" i="12"/>
  <c r="E72" i="12"/>
  <c r="C72" i="12"/>
  <c r="F71" i="12"/>
  <c r="E71" i="12"/>
  <c r="C71" i="12"/>
  <c r="F70" i="12"/>
  <c r="E70" i="12"/>
  <c r="C70" i="12"/>
  <c r="F69" i="12"/>
  <c r="E69" i="12"/>
  <c r="C69" i="12"/>
  <c r="F68" i="12"/>
  <c r="E68" i="12"/>
  <c r="C68" i="12"/>
  <c r="F67" i="12"/>
  <c r="E67" i="12"/>
  <c r="C67" i="12"/>
  <c r="F66" i="12"/>
  <c r="E66" i="12"/>
  <c r="C66" i="12"/>
  <c r="F59" i="12"/>
  <c r="E59" i="12"/>
  <c r="C59" i="12"/>
  <c r="F58" i="12"/>
  <c r="E58" i="12"/>
  <c r="C58" i="12"/>
  <c r="F57" i="12"/>
  <c r="E57" i="12"/>
  <c r="C57" i="12"/>
  <c r="F56" i="12"/>
  <c r="E56" i="12"/>
  <c r="C56" i="12"/>
  <c r="F55" i="12"/>
  <c r="E55" i="12"/>
  <c r="C55" i="12"/>
  <c r="F54" i="12"/>
  <c r="E54" i="12"/>
  <c r="C54" i="12"/>
  <c r="F53" i="12"/>
  <c r="E53" i="12"/>
  <c r="C53" i="12"/>
  <c r="F52" i="12"/>
  <c r="E52" i="12"/>
  <c r="C52" i="12"/>
  <c r="F51" i="12"/>
  <c r="E51" i="12"/>
  <c r="C51" i="12"/>
  <c r="F50" i="12"/>
  <c r="E50" i="12"/>
  <c r="C50" i="12"/>
  <c r="F44" i="12"/>
  <c r="E44" i="12"/>
  <c r="C44" i="12"/>
  <c r="F43" i="12"/>
  <c r="E43" i="12"/>
  <c r="C43" i="12"/>
  <c r="F42" i="12"/>
  <c r="E42" i="12"/>
  <c r="C42" i="12"/>
  <c r="F41" i="12"/>
  <c r="E41" i="12"/>
  <c r="C41" i="12"/>
  <c r="F40" i="12"/>
  <c r="E40" i="12"/>
  <c r="C40" i="12"/>
  <c r="F39" i="12"/>
  <c r="E39" i="12"/>
  <c r="C39" i="12"/>
  <c r="F38" i="12"/>
  <c r="E38" i="12"/>
  <c r="C38" i="12"/>
  <c r="F37" i="12"/>
  <c r="E37" i="12"/>
  <c r="C37" i="12"/>
  <c r="F36" i="12"/>
  <c r="E36" i="12"/>
  <c r="C36" i="12"/>
  <c r="F35" i="12"/>
  <c r="E35" i="12"/>
  <c r="C35" i="12"/>
  <c r="F28" i="12"/>
  <c r="E28" i="12"/>
  <c r="C28" i="12"/>
  <c r="F27" i="12"/>
  <c r="E27" i="12"/>
  <c r="C27" i="12"/>
  <c r="F26" i="12"/>
  <c r="E26" i="12"/>
  <c r="C26" i="12"/>
  <c r="F25" i="12"/>
  <c r="E25" i="12"/>
  <c r="C25" i="12"/>
  <c r="F24" i="12"/>
  <c r="E24" i="12"/>
  <c r="C24" i="12"/>
  <c r="F23" i="12"/>
  <c r="E23" i="12"/>
  <c r="C23" i="12"/>
  <c r="F22" i="12"/>
  <c r="E22" i="12"/>
  <c r="C22" i="12"/>
  <c r="F21" i="12"/>
  <c r="E21" i="12"/>
  <c r="C21" i="12"/>
  <c r="F20" i="12"/>
  <c r="E20" i="12"/>
  <c r="C20" i="12"/>
  <c r="F19" i="12"/>
  <c r="E19" i="12"/>
  <c r="C19" i="12"/>
  <c r="F12" i="12"/>
  <c r="E12" i="12"/>
  <c r="C12" i="12"/>
  <c r="F11" i="12"/>
  <c r="E11" i="12"/>
  <c r="C11" i="12"/>
  <c r="Q10" i="12"/>
  <c r="F10" i="12"/>
  <c r="E10" i="12"/>
  <c r="C10" i="12"/>
  <c r="Q9" i="12"/>
  <c r="F9" i="12"/>
  <c r="E9" i="12"/>
  <c r="C9" i="12"/>
  <c r="F8" i="12"/>
  <c r="E8" i="12"/>
  <c r="C8" i="12"/>
  <c r="F7" i="12"/>
  <c r="E7" i="12"/>
  <c r="C7" i="12"/>
  <c r="F6" i="12"/>
  <c r="E6" i="12"/>
  <c r="C6" i="12"/>
  <c r="F5" i="12"/>
  <c r="E5" i="12"/>
  <c r="C5" i="12"/>
  <c r="F4" i="12"/>
  <c r="E4" i="12"/>
  <c r="C4" i="12"/>
  <c r="F3" i="12"/>
  <c r="E3" i="12"/>
  <c r="C3" i="12"/>
  <c r="F89" i="23"/>
  <c r="E89" i="23"/>
  <c r="C89" i="23"/>
  <c r="F88" i="23"/>
  <c r="E88" i="23"/>
  <c r="C88" i="23"/>
  <c r="F87" i="23"/>
  <c r="E87" i="23"/>
  <c r="C87" i="23"/>
  <c r="F86" i="23"/>
  <c r="E86" i="23"/>
  <c r="C86" i="23"/>
  <c r="F85" i="23"/>
  <c r="E85" i="23"/>
  <c r="C85" i="23"/>
  <c r="F84" i="23"/>
  <c r="E84" i="23"/>
  <c r="C84" i="23"/>
  <c r="F83" i="23"/>
  <c r="E83" i="23"/>
  <c r="C83" i="23"/>
  <c r="F82" i="23"/>
  <c r="E82" i="23"/>
  <c r="C82" i="23"/>
  <c r="F81" i="23"/>
  <c r="E81" i="23"/>
  <c r="C81" i="23"/>
  <c r="F80" i="23"/>
  <c r="E80" i="23"/>
  <c r="C80" i="23"/>
  <c r="F74" i="23"/>
  <c r="E74" i="23"/>
  <c r="C74" i="23"/>
  <c r="F73" i="23"/>
  <c r="E73" i="23"/>
  <c r="C73" i="23"/>
  <c r="F72" i="23"/>
  <c r="E72" i="23"/>
  <c r="C72" i="23"/>
  <c r="F71" i="23"/>
  <c r="E71" i="23"/>
  <c r="C71" i="23"/>
  <c r="F70" i="23"/>
  <c r="E70" i="23"/>
  <c r="C70" i="23"/>
  <c r="F69" i="23"/>
  <c r="E69" i="23"/>
  <c r="C69" i="23"/>
  <c r="F68" i="23"/>
  <c r="E68" i="23"/>
  <c r="C68" i="23"/>
  <c r="F67" i="23"/>
  <c r="E67" i="23"/>
  <c r="C67" i="23"/>
  <c r="F66" i="23"/>
  <c r="E66" i="23"/>
  <c r="C66" i="23"/>
  <c r="F65" i="23"/>
  <c r="E65" i="23"/>
  <c r="C65" i="23"/>
  <c r="F58" i="23"/>
  <c r="E58" i="23"/>
  <c r="C58" i="23"/>
  <c r="F57" i="23"/>
  <c r="E57" i="23"/>
  <c r="C57" i="23"/>
  <c r="F56" i="23"/>
  <c r="E56" i="23"/>
  <c r="C56" i="23"/>
  <c r="F55" i="23"/>
  <c r="E55" i="23"/>
  <c r="C55" i="23"/>
  <c r="F54" i="23"/>
  <c r="E54" i="23"/>
  <c r="C54" i="23"/>
  <c r="F53" i="23"/>
  <c r="E53" i="23"/>
  <c r="C53" i="23"/>
  <c r="F52" i="23"/>
  <c r="E52" i="23"/>
  <c r="C52" i="23"/>
  <c r="F51" i="23"/>
  <c r="E51" i="23"/>
  <c r="C51" i="23"/>
  <c r="F50" i="23"/>
  <c r="E50" i="23"/>
  <c r="C50" i="23"/>
  <c r="F49" i="23"/>
  <c r="E49" i="23"/>
  <c r="C49" i="23"/>
  <c r="F44" i="23"/>
  <c r="E44" i="23"/>
  <c r="C44" i="23"/>
  <c r="F43" i="23"/>
  <c r="E43" i="23"/>
  <c r="C43" i="23"/>
  <c r="F42" i="23"/>
  <c r="E42" i="23"/>
  <c r="C42" i="23"/>
  <c r="F41" i="23"/>
  <c r="E41" i="23"/>
  <c r="C41" i="23"/>
  <c r="F40" i="23"/>
  <c r="E40" i="23"/>
  <c r="C40" i="23"/>
  <c r="F39" i="23"/>
  <c r="E39" i="23"/>
  <c r="C39" i="23"/>
  <c r="F38" i="23"/>
  <c r="E38" i="23"/>
  <c r="C38" i="23"/>
  <c r="F37" i="23"/>
  <c r="E37" i="23"/>
  <c r="C37" i="23"/>
  <c r="F36" i="23"/>
  <c r="E36" i="23"/>
  <c r="C36" i="23"/>
  <c r="F35" i="23"/>
  <c r="E35" i="23"/>
  <c r="C35" i="23"/>
  <c r="F28" i="23"/>
  <c r="E28" i="23"/>
  <c r="C28" i="23"/>
  <c r="F27" i="23"/>
  <c r="E27" i="23"/>
  <c r="C27" i="23"/>
  <c r="F26" i="23"/>
  <c r="E26" i="23"/>
  <c r="C26" i="23"/>
  <c r="F25" i="23"/>
  <c r="E25" i="23"/>
  <c r="C25" i="23"/>
  <c r="F24" i="23"/>
  <c r="E24" i="23"/>
  <c r="C24" i="23"/>
  <c r="F23" i="23"/>
  <c r="E23" i="23"/>
  <c r="C23" i="23"/>
  <c r="F22" i="23"/>
  <c r="E22" i="23"/>
  <c r="C22" i="23"/>
  <c r="F21" i="23"/>
  <c r="E21" i="23"/>
  <c r="C21" i="23"/>
  <c r="F20" i="23"/>
  <c r="E20" i="23"/>
  <c r="C20" i="23"/>
  <c r="F19" i="23"/>
  <c r="E19" i="23"/>
  <c r="C19" i="23"/>
  <c r="F12" i="23"/>
  <c r="E12" i="23"/>
  <c r="C12" i="23"/>
  <c r="F11" i="23"/>
  <c r="E11" i="23"/>
  <c r="C11" i="23"/>
  <c r="S10" i="23"/>
  <c r="F10" i="23"/>
  <c r="E10" i="23"/>
  <c r="C10" i="23"/>
  <c r="S9" i="23"/>
  <c r="F9" i="23"/>
  <c r="E9" i="23"/>
  <c r="C9" i="23"/>
  <c r="F8" i="23"/>
  <c r="E8" i="23"/>
  <c r="C8" i="23"/>
  <c r="F7" i="23"/>
  <c r="E7" i="23"/>
  <c r="C7" i="23"/>
  <c r="F6" i="23"/>
  <c r="E6" i="23"/>
  <c r="C6" i="23"/>
  <c r="F5" i="23"/>
  <c r="E5" i="23"/>
  <c r="C5" i="23"/>
  <c r="F4" i="23"/>
  <c r="E4" i="23"/>
  <c r="C4" i="23"/>
  <c r="F3" i="23"/>
  <c r="E3" i="23"/>
  <c r="C3" i="23"/>
  <c r="F59" i="18"/>
  <c r="E59" i="18"/>
  <c r="C59" i="18"/>
  <c r="F58" i="18"/>
  <c r="E58" i="18"/>
  <c r="C58" i="18"/>
  <c r="F57" i="18"/>
  <c r="E57" i="18"/>
  <c r="C57" i="18"/>
  <c r="F56" i="18"/>
  <c r="E56" i="18"/>
  <c r="C56" i="18"/>
  <c r="F55" i="18"/>
  <c r="E55" i="18"/>
  <c r="C55" i="18"/>
  <c r="F54" i="18"/>
  <c r="E54" i="18"/>
  <c r="C54" i="18"/>
  <c r="F53" i="18"/>
  <c r="E53" i="18"/>
  <c r="C53" i="18"/>
  <c r="F52" i="18"/>
  <c r="E52" i="18"/>
  <c r="C52" i="18"/>
  <c r="F51" i="18"/>
  <c r="E51" i="18"/>
  <c r="C51" i="18"/>
  <c r="F50" i="18"/>
  <c r="E50" i="18"/>
  <c r="C50" i="18"/>
  <c r="F43" i="18"/>
  <c r="E43" i="18"/>
  <c r="C43" i="18"/>
  <c r="F42" i="18"/>
  <c r="E42" i="18"/>
  <c r="C42" i="18"/>
  <c r="F41" i="18"/>
  <c r="E41" i="18"/>
  <c r="C41" i="18"/>
  <c r="F40" i="18"/>
  <c r="E40" i="18"/>
  <c r="C40" i="18"/>
  <c r="F39" i="18"/>
  <c r="E39" i="18"/>
  <c r="C39" i="18"/>
  <c r="F38" i="18"/>
  <c r="E38" i="18"/>
  <c r="C38" i="18"/>
  <c r="F37" i="18"/>
  <c r="E37" i="18"/>
  <c r="C37" i="18"/>
  <c r="F36" i="18"/>
  <c r="E36" i="18"/>
  <c r="C36" i="18"/>
  <c r="F35" i="18"/>
  <c r="E35" i="18"/>
  <c r="C35" i="18"/>
  <c r="F34" i="18"/>
  <c r="E34" i="18"/>
  <c r="C34" i="18"/>
  <c r="F28" i="18"/>
  <c r="E28" i="18"/>
  <c r="C28" i="18"/>
  <c r="F27" i="18"/>
  <c r="E27" i="18"/>
  <c r="C27" i="18"/>
  <c r="F26" i="18"/>
  <c r="E26" i="18"/>
  <c r="C26" i="18"/>
  <c r="F25" i="18"/>
  <c r="E25" i="18"/>
  <c r="C25" i="18"/>
  <c r="F24" i="18"/>
  <c r="E24" i="18"/>
  <c r="C24" i="18"/>
  <c r="F23" i="18"/>
  <c r="E23" i="18"/>
  <c r="C23" i="18"/>
  <c r="F22" i="18"/>
  <c r="E22" i="18"/>
  <c r="C22" i="18"/>
  <c r="F21" i="18"/>
  <c r="E21" i="18"/>
  <c r="C21" i="18"/>
  <c r="F20" i="18"/>
  <c r="E20" i="18"/>
  <c r="C20" i="18"/>
  <c r="F19" i="18"/>
  <c r="E19" i="18"/>
  <c r="C19" i="18"/>
  <c r="F12" i="18"/>
  <c r="E12" i="18"/>
  <c r="C12" i="18"/>
  <c r="F11" i="18"/>
  <c r="E11" i="18"/>
  <c r="C11" i="18"/>
  <c r="R10" i="18"/>
  <c r="F10" i="18"/>
  <c r="E10" i="18"/>
  <c r="C10" i="18"/>
  <c r="R9" i="18"/>
  <c r="F9" i="18"/>
  <c r="E9" i="18"/>
  <c r="C9" i="18"/>
  <c r="F8" i="18"/>
  <c r="E8" i="18"/>
  <c r="C8" i="18"/>
  <c r="F7" i="18"/>
  <c r="E7" i="18"/>
  <c r="C7" i="18"/>
  <c r="F6" i="18"/>
  <c r="E6" i="18"/>
  <c r="C6" i="18"/>
  <c r="F5" i="18"/>
  <c r="E5" i="18"/>
  <c r="C5" i="18"/>
  <c r="F4" i="18"/>
  <c r="E4" i="18"/>
  <c r="C4" i="18"/>
  <c r="F3" i="18"/>
  <c r="E3" i="18"/>
  <c r="C3" i="18"/>
  <c r="F61" i="9"/>
  <c r="E61" i="9"/>
  <c r="C61" i="9"/>
  <c r="F60" i="9"/>
  <c r="E60" i="9"/>
  <c r="C60" i="9"/>
  <c r="F59" i="9"/>
  <c r="E59" i="9"/>
  <c r="C59" i="9"/>
  <c r="F58" i="9"/>
  <c r="E58" i="9"/>
  <c r="C58" i="9"/>
  <c r="F57" i="9"/>
  <c r="E57" i="9"/>
  <c r="C57" i="9"/>
  <c r="F56" i="9"/>
  <c r="E56" i="9"/>
  <c r="C56" i="9"/>
  <c r="F55" i="9"/>
  <c r="E55" i="9"/>
  <c r="C55" i="9"/>
  <c r="F54" i="9"/>
  <c r="E54" i="9"/>
  <c r="C54" i="9"/>
  <c r="F53" i="9"/>
  <c r="E53" i="9"/>
  <c r="C53" i="9"/>
  <c r="F52" i="9"/>
  <c r="E52" i="9"/>
  <c r="C52" i="9"/>
  <c r="F51" i="9"/>
  <c r="E51" i="9"/>
  <c r="C51" i="9"/>
  <c r="F50" i="9"/>
  <c r="E50" i="9"/>
  <c r="C50" i="9"/>
  <c r="F46" i="9"/>
  <c r="E46" i="9"/>
  <c r="C46" i="9"/>
  <c r="F45" i="9"/>
  <c r="E45" i="9"/>
  <c r="C45" i="9"/>
  <c r="F44" i="9"/>
  <c r="E44" i="9"/>
  <c r="C44" i="9"/>
  <c r="F43" i="9"/>
  <c r="E43" i="9"/>
  <c r="C43" i="9"/>
  <c r="F42" i="9"/>
  <c r="E42" i="9"/>
  <c r="C42" i="9"/>
  <c r="F41" i="9"/>
  <c r="E41" i="9"/>
  <c r="C41" i="9"/>
  <c r="F40" i="9"/>
  <c r="E40" i="9"/>
  <c r="C40" i="9"/>
  <c r="F39" i="9"/>
  <c r="E39" i="9"/>
  <c r="C39" i="9"/>
  <c r="F38" i="9"/>
  <c r="E38" i="9"/>
  <c r="C38" i="9"/>
  <c r="F37" i="9"/>
  <c r="E37" i="9"/>
  <c r="C37" i="9"/>
  <c r="F36" i="9"/>
  <c r="E36" i="9"/>
  <c r="C36" i="9"/>
  <c r="F35" i="9"/>
  <c r="E35" i="9"/>
  <c r="C35" i="9"/>
  <c r="F30" i="9"/>
  <c r="E30" i="9"/>
  <c r="C30" i="9"/>
  <c r="F29" i="9"/>
  <c r="E29" i="9"/>
  <c r="C29" i="9"/>
  <c r="F28" i="9"/>
  <c r="E28" i="9"/>
  <c r="C28" i="9"/>
  <c r="F27" i="9"/>
  <c r="E27" i="9"/>
  <c r="C27" i="9"/>
  <c r="F26" i="9"/>
  <c r="E26" i="9"/>
  <c r="C26" i="9"/>
  <c r="F25" i="9"/>
  <c r="E25" i="9"/>
  <c r="C25" i="9"/>
  <c r="F24" i="9"/>
  <c r="E24" i="9"/>
  <c r="C24" i="9"/>
  <c r="F23" i="9"/>
  <c r="E23" i="9"/>
  <c r="C23" i="9"/>
  <c r="F22" i="9"/>
  <c r="E22" i="9"/>
  <c r="C22" i="9"/>
  <c r="F21" i="9"/>
  <c r="E21" i="9"/>
  <c r="C21" i="9"/>
  <c r="F20" i="9"/>
  <c r="E20" i="9"/>
  <c r="C20" i="9"/>
  <c r="F19" i="9"/>
  <c r="E19" i="9"/>
  <c r="C19" i="9"/>
  <c r="F14" i="9"/>
  <c r="E14" i="9"/>
  <c r="C14" i="9"/>
  <c r="F13" i="9"/>
  <c r="E13" i="9"/>
  <c r="C13" i="9"/>
  <c r="F12" i="9"/>
  <c r="E12" i="9"/>
  <c r="C12" i="9"/>
  <c r="F11" i="9"/>
  <c r="E11" i="9"/>
  <c r="C11" i="9"/>
  <c r="Q10" i="9"/>
  <c r="F10" i="9"/>
  <c r="E10" i="9"/>
  <c r="C10" i="9"/>
  <c r="Q9" i="9"/>
  <c r="F9" i="9"/>
  <c r="E9" i="9"/>
  <c r="C9" i="9"/>
  <c r="F8" i="9"/>
  <c r="E8" i="9"/>
  <c r="C8" i="9"/>
  <c r="F7" i="9"/>
  <c r="E7" i="9"/>
  <c r="C7" i="9"/>
  <c r="F6" i="9"/>
  <c r="E6" i="9"/>
  <c r="C6" i="9"/>
  <c r="F5" i="9"/>
  <c r="E5" i="9"/>
  <c r="C5" i="9"/>
  <c r="F4" i="9"/>
  <c r="E4" i="9"/>
  <c r="C4" i="9"/>
  <c r="F3" i="9"/>
  <c r="E3" i="9"/>
  <c r="C3" i="9"/>
  <c r="F63" i="10"/>
  <c r="E63" i="10"/>
  <c r="C63" i="10"/>
  <c r="F62" i="10"/>
  <c r="E62" i="10"/>
  <c r="C62" i="10"/>
  <c r="F61" i="10"/>
  <c r="E61" i="10"/>
  <c r="C61" i="10"/>
  <c r="F60" i="10"/>
  <c r="E60" i="10"/>
  <c r="C60" i="10"/>
  <c r="F59" i="10"/>
  <c r="E59" i="10"/>
  <c r="C59" i="10"/>
  <c r="F58" i="10"/>
  <c r="E58" i="10"/>
  <c r="C58" i="10"/>
  <c r="F57" i="10"/>
  <c r="E57" i="10"/>
  <c r="C57" i="10"/>
  <c r="F56" i="10"/>
  <c r="E56" i="10"/>
  <c r="C56" i="10"/>
  <c r="F55" i="10"/>
  <c r="E55" i="10"/>
  <c r="C55" i="10"/>
  <c r="F54" i="10"/>
  <c r="E54" i="10"/>
  <c r="C54" i="10"/>
  <c r="F53" i="10"/>
  <c r="E53" i="10"/>
  <c r="C53" i="10"/>
  <c r="F52" i="10"/>
  <c r="E52" i="10"/>
  <c r="C52" i="10"/>
  <c r="F47" i="10"/>
  <c r="E47" i="10"/>
  <c r="C47" i="10"/>
  <c r="F46" i="10"/>
  <c r="E46" i="10"/>
  <c r="C46" i="10"/>
  <c r="F45" i="10"/>
  <c r="E45" i="10"/>
  <c r="C45" i="10"/>
  <c r="F44" i="10"/>
  <c r="E44" i="10"/>
  <c r="C44" i="10"/>
  <c r="F43" i="10"/>
  <c r="E43" i="10"/>
  <c r="C43" i="10"/>
  <c r="F42" i="10"/>
  <c r="E42" i="10"/>
  <c r="C42" i="10"/>
  <c r="F41" i="10"/>
  <c r="E41" i="10"/>
  <c r="C41" i="10"/>
  <c r="F40" i="10"/>
  <c r="E40" i="10"/>
  <c r="C40" i="10"/>
  <c r="F39" i="10"/>
  <c r="E39" i="10"/>
  <c r="C39" i="10"/>
  <c r="F38" i="10"/>
  <c r="E38" i="10"/>
  <c r="C38" i="10"/>
  <c r="F37" i="10"/>
  <c r="E37" i="10"/>
  <c r="C37" i="10"/>
  <c r="F36" i="10"/>
  <c r="E36" i="10"/>
  <c r="C36" i="10"/>
  <c r="F31" i="10"/>
  <c r="E31" i="10"/>
  <c r="C31" i="10"/>
  <c r="F30" i="10"/>
  <c r="E30" i="10"/>
  <c r="C30" i="10"/>
  <c r="F29" i="10"/>
  <c r="E29" i="10"/>
  <c r="C29" i="10"/>
  <c r="F28" i="10"/>
  <c r="E28" i="10"/>
  <c r="C28" i="10"/>
  <c r="F27" i="10"/>
  <c r="E27" i="10"/>
  <c r="C27" i="10"/>
  <c r="F26" i="10"/>
  <c r="E26" i="10"/>
  <c r="C26" i="10"/>
  <c r="F25" i="10"/>
  <c r="E25" i="10"/>
  <c r="C25" i="10"/>
  <c r="F24" i="10"/>
  <c r="E24" i="10"/>
  <c r="C24" i="10"/>
  <c r="F23" i="10"/>
  <c r="E23" i="10"/>
  <c r="C23" i="10"/>
  <c r="F22" i="10"/>
  <c r="E22" i="10"/>
  <c r="C22" i="10"/>
  <c r="F21" i="10"/>
  <c r="E21" i="10"/>
  <c r="C21" i="10"/>
  <c r="F20" i="10"/>
  <c r="E20" i="10"/>
  <c r="C20" i="10"/>
  <c r="F14" i="10"/>
  <c r="E14" i="10"/>
  <c r="C14" i="10"/>
  <c r="F13" i="10"/>
  <c r="E13" i="10"/>
  <c r="C13" i="10"/>
  <c r="F12" i="10"/>
  <c r="E12" i="10"/>
  <c r="C12" i="10"/>
  <c r="F11" i="10"/>
  <c r="E11" i="10"/>
  <c r="C11" i="10"/>
  <c r="Q10" i="10"/>
  <c r="F10" i="10"/>
  <c r="E10" i="10"/>
  <c r="C10" i="10"/>
  <c r="Q9" i="10"/>
  <c r="F9" i="10"/>
  <c r="E9" i="10"/>
  <c r="C9" i="10"/>
  <c r="F8" i="10"/>
  <c r="E8" i="10"/>
  <c r="C8" i="10"/>
  <c r="F7" i="10"/>
  <c r="E7" i="10"/>
  <c r="C7" i="10"/>
  <c r="F6" i="10"/>
  <c r="E6" i="10"/>
  <c r="C6" i="10"/>
  <c r="F5" i="10"/>
  <c r="E5" i="10"/>
  <c r="C5" i="10"/>
  <c r="F4" i="10"/>
  <c r="E4" i="10"/>
  <c r="C4" i="10"/>
  <c r="F3" i="10"/>
  <c r="E3" i="10"/>
  <c r="C3" i="10"/>
  <c r="F64" i="8"/>
  <c r="E64" i="8"/>
  <c r="C64" i="8"/>
  <c r="F63" i="8"/>
  <c r="E63" i="8"/>
  <c r="C63" i="8"/>
  <c r="F62" i="8"/>
  <c r="E62" i="8"/>
  <c r="C62" i="8"/>
  <c r="F61" i="8"/>
  <c r="E61" i="8"/>
  <c r="C61" i="8"/>
  <c r="F60" i="8"/>
  <c r="E60" i="8"/>
  <c r="C60" i="8"/>
  <c r="F59" i="8"/>
  <c r="E59" i="8"/>
  <c r="C59" i="8"/>
  <c r="F58" i="8"/>
  <c r="E58" i="8"/>
  <c r="C58" i="8"/>
  <c r="F57" i="8"/>
  <c r="E57" i="8"/>
  <c r="C57" i="8"/>
  <c r="F56" i="8"/>
  <c r="E56" i="8"/>
  <c r="C56" i="8"/>
  <c r="F55" i="8"/>
  <c r="E55" i="8"/>
  <c r="C55" i="8"/>
  <c r="F54" i="8"/>
  <c r="E54" i="8"/>
  <c r="C54" i="8"/>
  <c r="F53" i="8"/>
  <c r="E53" i="8"/>
  <c r="C53" i="8"/>
  <c r="F48" i="8"/>
  <c r="E48" i="8"/>
  <c r="C48" i="8"/>
  <c r="F47" i="8"/>
  <c r="E47" i="8"/>
  <c r="C47" i="8"/>
  <c r="F46" i="8"/>
  <c r="E46" i="8"/>
  <c r="C46" i="8"/>
  <c r="F45" i="8"/>
  <c r="E45" i="8"/>
  <c r="C45" i="8"/>
  <c r="F44" i="8"/>
  <c r="E44" i="8"/>
  <c r="C44" i="8"/>
  <c r="F43" i="8"/>
  <c r="E43" i="8"/>
  <c r="C43" i="8"/>
  <c r="F42" i="8"/>
  <c r="E42" i="8"/>
  <c r="C42" i="8"/>
  <c r="F41" i="8"/>
  <c r="E41" i="8"/>
  <c r="C41" i="8"/>
  <c r="F40" i="8"/>
  <c r="E40" i="8"/>
  <c r="C40" i="8"/>
  <c r="F39" i="8"/>
  <c r="E39" i="8"/>
  <c r="C39" i="8"/>
  <c r="F38" i="8"/>
  <c r="E38" i="8"/>
  <c r="C38" i="8"/>
  <c r="F37" i="8"/>
  <c r="E37" i="8"/>
  <c r="C37" i="8"/>
  <c r="F31" i="8"/>
  <c r="E31" i="8"/>
  <c r="C31" i="8"/>
  <c r="F30" i="8"/>
  <c r="E30" i="8"/>
  <c r="C30" i="8"/>
  <c r="F29" i="8"/>
  <c r="E29" i="8"/>
  <c r="C29" i="8"/>
  <c r="F28" i="8"/>
  <c r="E28" i="8"/>
  <c r="C28" i="8"/>
  <c r="F27" i="8"/>
  <c r="E27" i="8"/>
  <c r="C27" i="8"/>
  <c r="F26" i="8"/>
  <c r="E26" i="8"/>
  <c r="C26" i="8"/>
  <c r="F25" i="8"/>
  <c r="E25" i="8"/>
  <c r="C25" i="8"/>
  <c r="F24" i="8"/>
  <c r="E24" i="8"/>
  <c r="C24" i="8"/>
  <c r="F23" i="8"/>
  <c r="E23" i="8"/>
  <c r="C23" i="8"/>
  <c r="F22" i="8"/>
  <c r="E22" i="8"/>
  <c r="C22" i="8"/>
  <c r="F21" i="8"/>
  <c r="E21" i="8"/>
  <c r="C21" i="8"/>
  <c r="F20" i="8"/>
  <c r="E20" i="8"/>
  <c r="C20" i="8"/>
  <c r="F14" i="8"/>
  <c r="E14" i="8"/>
  <c r="C14" i="8"/>
  <c r="F13" i="8"/>
  <c r="E13" i="8"/>
  <c r="C13" i="8"/>
  <c r="F12" i="8"/>
  <c r="E12" i="8"/>
  <c r="C12" i="8"/>
  <c r="F11" i="8"/>
  <c r="E11" i="8"/>
  <c r="C11" i="8"/>
  <c r="Q10" i="8"/>
  <c r="F10" i="8"/>
  <c r="E10" i="8"/>
  <c r="C10" i="8"/>
  <c r="Q9" i="8"/>
  <c r="F9" i="8"/>
  <c r="E9" i="8"/>
  <c r="C9" i="8"/>
  <c r="F8" i="8"/>
  <c r="E8" i="8"/>
  <c r="C8" i="8"/>
  <c r="F7" i="8"/>
  <c r="E7" i="8"/>
  <c r="C7" i="8"/>
  <c r="F6" i="8"/>
  <c r="E6" i="8"/>
  <c r="C6" i="8"/>
  <c r="F5" i="8"/>
  <c r="E5" i="8"/>
  <c r="C5" i="8"/>
  <c r="F4" i="8"/>
  <c r="E4" i="8"/>
  <c r="C4" i="8"/>
  <c r="F3" i="8"/>
  <c r="E3" i="8"/>
  <c r="C3" i="8"/>
  <c r="F92" i="19"/>
  <c r="E92" i="19"/>
  <c r="C92" i="19"/>
  <c r="F91" i="19"/>
  <c r="E91" i="19"/>
  <c r="C91" i="19"/>
  <c r="F90" i="19"/>
  <c r="E90" i="19"/>
  <c r="C90" i="19"/>
  <c r="F89" i="19"/>
  <c r="E89" i="19"/>
  <c r="C89" i="19"/>
  <c r="F88" i="19"/>
  <c r="E88" i="19"/>
  <c r="C88" i="19"/>
  <c r="F87" i="19"/>
  <c r="E87" i="19"/>
  <c r="C87" i="19"/>
  <c r="F86" i="19"/>
  <c r="E86" i="19"/>
  <c r="C86" i="19"/>
  <c r="F85" i="19"/>
  <c r="E85" i="19"/>
  <c r="C85" i="19"/>
  <c r="F84" i="19"/>
  <c r="E84" i="19"/>
  <c r="C84" i="19"/>
  <c r="F83" i="19"/>
  <c r="E83" i="19"/>
  <c r="C83" i="19"/>
  <c r="F76" i="19"/>
  <c r="E76" i="19"/>
  <c r="C76" i="19"/>
  <c r="F75" i="19"/>
  <c r="E75" i="19"/>
  <c r="C75" i="19"/>
  <c r="F74" i="19"/>
  <c r="E74" i="19"/>
  <c r="C74" i="19"/>
  <c r="F73" i="19"/>
  <c r="E73" i="19"/>
  <c r="C73" i="19"/>
  <c r="F72" i="19"/>
  <c r="E72" i="19"/>
  <c r="C72" i="19"/>
  <c r="F71" i="19"/>
  <c r="E71" i="19"/>
  <c r="C71" i="19"/>
  <c r="F70" i="19"/>
  <c r="E70" i="19"/>
  <c r="C70" i="19"/>
  <c r="F69" i="19"/>
  <c r="E69" i="19"/>
  <c r="C69" i="19"/>
  <c r="F68" i="19"/>
  <c r="E68" i="19"/>
  <c r="C68" i="19"/>
  <c r="F67" i="19"/>
  <c r="E67" i="19"/>
  <c r="C67" i="19"/>
  <c r="F61" i="19"/>
  <c r="E61" i="19"/>
  <c r="C61" i="19"/>
  <c r="F60" i="19"/>
  <c r="E60" i="19"/>
  <c r="C60" i="19"/>
  <c r="F59" i="19"/>
  <c r="E59" i="19"/>
  <c r="C59" i="19"/>
  <c r="F58" i="19"/>
  <c r="E58" i="19"/>
  <c r="C58" i="19"/>
  <c r="F57" i="19"/>
  <c r="E57" i="19"/>
  <c r="C57" i="19"/>
  <c r="F56" i="19"/>
  <c r="E56" i="19"/>
  <c r="C56" i="19"/>
  <c r="F55" i="19"/>
  <c r="E55" i="19"/>
  <c r="C55" i="19"/>
  <c r="F54" i="19"/>
  <c r="E54" i="19"/>
  <c r="C54" i="19"/>
  <c r="F53" i="19"/>
  <c r="E53" i="19"/>
  <c r="C53" i="19"/>
  <c r="F52" i="19"/>
  <c r="E52" i="19"/>
  <c r="C52" i="19"/>
  <c r="F45" i="19"/>
  <c r="E45" i="19"/>
  <c r="C45" i="19"/>
  <c r="F44" i="19"/>
  <c r="E44" i="19"/>
  <c r="C44" i="19"/>
  <c r="F43" i="19"/>
  <c r="E43" i="19"/>
  <c r="C43" i="19"/>
  <c r="F42" i="19"/>
  <c r="E42" i="19"/>
  <c r="C42" i="19"/>
  <c r="F41" i="19"/>
  <c r="E41" i="19"/>
  <c r="C41" i="19"/>
  <c r="F40" i="19"/>
  <c r="E40" i="19"/>
  <c r="C40" i="19"/>
  <c r="F39" i="19"/>
  <c r="E39" i="19"/>
  <c r="C39" i="19"/>
  <c r="F38" i="19"/>
  <c r="E38" i="19"/>
  <c r="C38" i="19"/>
  <c r="F37" i="19"/>
  <c r="E37" i="19"/>
  <c r="C37" i="19"/>
  <c r="F36" i="19"/>
  <c r="E36" i="19"/>
  <c r="C36" i="19"/>
  <c r="F30" i="19"/>
  <c r="E30" i="19"/>
  <c r="C30" i="19"/>
  <c r="F29" i="19"/>
  <c r="E29" i="19"/>
  <c r="C29" i="19"/>
  <c r="F28" i="19"/>
  <c r="E28" i="19"/>
  <c r="C28" i="19"/>
  <c r="F27" i="19"/>
  <c r="E27" i="19"/>
  <c r="C27" i="19"/>
  <c r="F26" i="19"/>
  <c r="E26" i="19"/>
  <c r="C26" i="19"/>
  <c r="F25" i="19"/>
  <c r="E25" i="19"/>
  <c r="C25" i="19"/>
  <c r="F24" i="19"/>
  <c r="E24" i="19"/>
  <c r="C24" i="19"/>
  <c r="F23" i="19"/>
  <c r="E23" i="19"/>
  <c r="C23" i="19"/>
  <c r="F22" i="19"/>
  <c r="E22" i="19"/>
  <c r="C22" i="19"/>
  <c r="F21" i="19"/>
  <c r="E21" i="19"/>
  <c r="C21" i="19"/>
  <c r="F12" i="19"/>
  <c r="E12" i="19"/>
  <c r="C12" i="19"/>
  <c r="F11" i="19"/>
  <c r="E11" i="19"/>
  <c r="C11" i="19"/>
  <c r="R10" i="19"/>
  <c r="F10" i="19"/>
  <c r="E10" i="19"/>
  <c r="C10" i="19"/>
  <c r="R9" i="19"/>
  <c r="F9" i="19"/>
  <c r="E9" i="19"/>
  <c r="C9" i="19"/>
  <c r="F8" i="19"/>
  <c r="E8" i="19"/>
  <c r="C8" i="19"/>
  <c r="F7" i="19"/>
  <c r="E7" i="19"/>
  <c r="C7" i="19"/>
  <c r="F6" i="19"/>
  <c r="E6" i="19"/>
  <c r="C6" i="19"/>
  <c r="F5" i="19"/>
  <c r="E5" i="19"/>
  <c r="C5" i="19"/>
  <c r="F4" i="19"/>
  <c r="E4" i="19"/>
  <c r="C4" i="19"/>
  <c r="F3" i="19"/>
  <c r="E3" i="19"/>
  <c r="C3" i="19"/>
  <c r="F93" i="7"/>
  <c r="E93" i="7"/>
  <c r="C93" i="7"/>
  <c r="F92" i="7"/>
  <c r="E92" i="7"/>
  <c r="C92" i="7"/>
  <c r="F91" i="7"/>
  <c r="E91" i="7"/>
  <c r="C91" i="7"/>
  <c r="F90" i="7"/>
  <c r="E90" i="7"/>
  <c r="C90" i="7"/>
  <c r="F89" i="7"/>
  <c r="E89" i="7"/>
  <c r="C89" i="7"/>
  <c r="F88" i="7"/>
  <c r="E88" i="7"/>
  <c r="C88" i="7"/>
  <c r="F87" i="7"/>
  <c r="E87" i="7"/>
  <c r="C87" i="7"/>
  <c r="F86" i="7"/>
  <c r="E86" i="7"/>
  <c r="C86" i="7"/>
  <c r="F85" i="7"/>
  <c r="E85" i="7"/>
  <c r="C85" i="7"/>
  <c r="F84" i="7"/>
  <c r="E84" i="7"/>
  <c r="C84" i="7"/>
  <c r="F83" i="7"/>
  <c r="E83" i="7"/>
  <c r="C83" i="7"/>
  <c r="F82" i="7"/>
  <c r="E82" i="7"/>
  <c r="C82" i="7"/>
  <c r="F78" i="7"/>
  <c r="E78" i="7"/>
  <c r="C78" i="7"/>
  <c r="F77" i="7"/>
  <c r="E77" i="7"/>
  <c r="C77" i="7"/>
  <c r="F76" i="7"/>
  <c r="E76" i="7"/>
  <c r="C76" i="7"/>
  <c r="F75" i="7"/>
  <c r="E75" i="7"/>
  <c r="C75" i="7"/>
  <c r="F74" i="7"/>
  <c r="E74" i="7"/>
  <c r="C74" i="7"/>
  <c r="F73" i="7"/>
  <c r="E73" i="7"/>
  <c r="C73" i="7"/>
  <c r="F72" i="7"/>
  <c r="E72" i="7"/>
  <c r="C72" i="7"/>
  <c r="F71" i="7"/>
  <c r="E71" i="7"/>
  <c r="C71" i="7"/>
  <c r="F70" i="7"/>
  <c r="E70" i="7"/>
  <c r="C70" i="7"/>
  <c r="F69" i="7"/>
  <c r="E69" i="7"/>
  <c r="C69" i="7"/>
  <c r="F68" i="7"/>
  <c r="E68" i="7"/>
  <c r="C68" i="7"/>
  <c r="F67" i="7"/>
  <c r="E67" i="7"/>
  <c r="C67" i="7"/>
  <c r="F62" i="7"/>
  <c r="E62" i="7"/>
  <c r="C62" i="7"/>
  <c r="F61" i="7"/>
  <c r="E61" i="7"/>
  <c r="C61" i="7"/>
  <c r="F60" i="7"/>
  <c r="E60" i="7"/>
  <c r="C60" i="7"/>
  <c r="F59" i="7"/>
  <c r="E59" i="7"/>
  <c r="C59" i="7"/>
  <c r="F58" i="7"/>
  <c r="E58" i="7"/>
  <c r="C58" i="7"/>
  <c r="F57" i="7"/>
  <c r="E57" i="7"/>
  <c r="C57" i="7"/>
  <c r="F56" i="7"/>
  <c r="E56" i="7"/>
  <c r="C56" i="7"/>
  <c r="F55" i="7"/>
  <c r="E55" i="7"/>
  <c r="C55" i="7"/>
  <c r="F54" i="7"/>
  <c r="E54" i="7"/>
  <c r="C54" i="7"/>
  <c r="F53" i="7"/>
  <c r="E53" i="7"/>
  <c r="C53" i="7"/>
  <c r="F52" i="7"/>
  <c r="E52" i="7"/>
  <c r="C52" i="7"/>
  <c r="F51" i="7"/>
  <c r="E51" i="7"/>
  <c r="C51" i="7"/>
  <c r="F46" i="7"/>
  <c r="E46" i="7"/>
  <c r="C46" i="7"/>
  <c r="F45" i="7"/>
  <c r="E45" i="7"/>
  <c r="C45" i="7"/>
  <c r="F44" i="7"/>
  <c r="E44" i="7"/>
  <c r="C44" i="7"/>
  <c r="F43" i="7"/>
  <c r="E43" i="7"/>
  <c r="C43" i="7"/>
  <c r="F42" i="7"/>
  <c r="E42" i="7"/>
  <c r="C42" i="7"/>
  <c r="F41" i="7"/>
  <c r="E41" i="7"/>
  <c r="C41" i="7"/>
  <c r="F40" i="7"/>
  <c r="E40" i="7"/>
  <c r="C40" i="7"/>
  <c r="F39" i="7"/>
  <c r="E39" i="7"/>
  <c r="C39" i="7"/>
  <c r="F38" i="7"/>
  <c r="E38" i="7"/>
  <c r="C38" i="7"/>
  <c r="F37" i="7"/>
  <c r="E37" i="7"/>
  <c r="C37" i="7"/>
  <c r="F36" i="7"/>
  <c r="E36" i="7"/>
  <c r="C36" i="7"/>
  <c r="F35" i="7"/>
  <c r="E35" i="7"/>
  <c r="C35" i="7"/>
  <c r="F30" i="7"/>
  <c r="E30" i="7"/>
  <c r="C30" i="7"/>
  <c r="F29" i="7"/>
  <c r="E29" i="7"/>
  <c r="C29" i="7"/>
  <c r="F28" i="7"/>
  <c r="E28" i="7"/>
  <c r="C28" i="7"/>
  <c r="F27" i="7"/>
  <c r="E27" i="7"/>
  <c r="C27" i="7"/>
  <c r="F26" i="7"/>
  <c r="E26" i="7"/>
  <c r="C26" i="7"/>
  <c r="F25" i="7"/>
  <c r="E25" i="7"/>
  <c r="C25" i="7"/>
  <c r="F24" i="7"/>
  <c r="E24" i="7"/>
  <c r="C24" i="7"/>
  <c r="F23" i="7"/>
  <c r="E23" i="7"/>
  <c r="C23" i="7"/>
  <c r="F22" i="7"/>
  <c r="E22" i="7"/>
  <c r="C22" i="7"/>
  <c r="F21" i="7"/>
  <c r="E21" i="7"/>
  <c r="C21" i="7"/>
  <c r="F20" i="7"/>
  <c r="E20" i="7"/>
  <c r="C20" i="7"/>
  <c r="F19" i="7"/>
  <c r="E19" i="7"/>
  <c r="C19" i="7"/>
  <c r="F14" i="7"/>
  <c r="E14" i="7"/>
  <c r="C14" i="7"/>
  <c r="F13" i="7"/>
  <c r="E13" i="7"/>
  <c r="C13" i="7"/>
  <c r="F12" i="7"/>
  <c r="E12" i="7"/>
  <c r="C12" i="7"/>
  <c r="F11" i="7"/>
  <c r="E11" i="7"/>
  <c r="C11" i="7"/>
  <c r="Q10" i="7"/>
  <c r="F10" i="7"/>
  <c r="E10" i="7"/>
  <c r="C10" i="7"/>
  <c r="Q9" i="7"/>
  <c r="F9" i="7"/>
  <c r="E9" i="7"/>
  <c r="C9" i="7"/>
  <c r="F8" i="7"/>
  <c r="E8" i="7"/>
  <c r="C8" i="7"/>
  <c r="F7" i="7"/>
  <c r="E7" i="7"/>
  <c r="C7" i="7"/>
  <c r="F6" i="7"/>
  <c r="E6" i="7"/>
  <c r="C6" i="7"/>
  <c r="F5" i="7"/>
  <c r="E5" i="7"/>
  <c r="C5" i="7"/>
  <c r="F4" i="7"/>
  <c r="E4" i="7"/>
  <c r="C4" i="7"/>
  <c r="F3" i="7"/>
  <c r="E3" i="7"/>
  <c r="C3" i="7"/>
  <c r="F94" i="5"/>
  <c r="E94" i="5"/>
  <c r="C94" i="5"/>
  <c r="F93" i="5"/>
  <c r="E93" i="5"/>
  <c r="C93" i="5"/>
  <c r="F92" i="5"/>
  <c r="E92" i="5"/>
  <c r="C92" i="5"/>
  <c r="F91" i="5"/>
  <c r="E91" i="5"/>
  <c r="C91" i="5"/>
  <c r="F90" i="5"/>
  <c r="E90" i="5"/>
  <c r="C90" i="5"/>
  <c r="F89" i="5"/>
  <c r="E89" i="5"/>
  <c r="C89" i="5"/>
  <c r="F88" i="5"/>
  <c r="E88" i="5"/>
  <c r="C88" i="5"/>
  <c r="F87" i="5"/>
  <c r="E87" i="5"/>
  <c r="C87" i="5"/>
  <c r="F86" i="5"/>
  <c r="E86" i="5"/>
  <c r="C86" i="5"/>
  <c r="F85" i="5"/>
  <c r="E85" i="5"/>
  <c r="C85" i="5"/>
  <c r="F84" i="5"/>
  <c r="E84" i="5"/>
  <c r="C84" i="5"/>
  <c r="F83" i="5"/>
  <c r="E83" i="5"/>
  <c r="C83" i="5"/>
  <c r="F78" i="5"/>
  <c r="E78" i="5"/>
  <c r="C78" i="5"/>
  <c r="F77" i="5"/>
  <c r="E77" i="5"/>
  <c r="C77" i="5"/>
  <c r="F76" i="5"/>
  <c r="E76" i="5"/>
  <c r="C76" i="5"/>
  <c r="F75" i="5"/>
  <c r="E75" i="5"/>
  <c r="C75" i="5"/>
  <c r="F74" i="5"/>
  <c r="E74" i="5"/>
  <c r="C74" i="5"/>
  <c r="F73" i="5"/>
  <c r="E73" i="5"/>
  <c r="C73" i="5"/>
  <c r="F72" i="5"/>
  <c r="E72" i="5"/>
  <c r="C72" i="5"/>
  <c r="F71" i="5"/>
  <c r="E71" i="5"/>
  <c r="C71" i="5"/>
  <c r="F70" i="5"/>
  <c r="E70" i="5"/>
  <c r="C70" i="5"/>
  <c r="F69" i="5"/>
  <c r="E69" i="5"/>
  <c r="C69" i="5"/>
  <c r="F68" i="5"/>
  <c r="E68" i="5"/>
  <c r="C68" i="5"/>
  <c r="F67" i="5"/>
  <c r="E67" i="5"/>
  <c r="C67" i="5"/>
  <c r="F62" i="5"/>
  <c r="E62" i="5"/>
  <c r="C62" i="5"/>
  <c r="F61" i="5"/>
  <c r="E61" i="5"/>
  <c r="C61" i="5"/>
  <c r="F60" i="5"/>
  <c r="E60" i="5"/>
  <c r="C60" i="5"/>
  <c r="F59" i="5"/>
  <c r="E59" i="5"/>
  <c r="C59" i="5"/>
  <c r="F58" i="5"/>
  <c r="E58" i="5"/>
  <c r="C58" i="5"/>
  <c r="F57" i="5"/>
  <c r="E57" i="5"/>
  <c r="C57" i="5"/>
  <c r="F56" i="5"/>
  <c r="E56" i="5"/>
  <c r="C56" i="5"/>
  <c r="F55" i="5"/>
  <c r="E55" i="5"/>
  <c r="C55" i="5"/>
  <c r="F54" i="5"/>
  <c r="E54" i="5"/>
  <c r="C54" i="5"/>
  <c r="F53" i="5"/>
  <c r="E53" i="5"/>
  <c r="C53" i="5"/>
  <c r="F52" i="5"/>
  <c r="E52" i="5"/>
  <c r="C52" i="5"/>
  <c r="F51" i="5"/>
  <c r="E51" i="5"/>
  <c r="C51" i="5"/>
  <c r="F46" i="5"/>
  <c r="E46" i="5"/>
  <c r="C46" i="5"/>
  <c r="F45" i="5"/>
  <c r="E45" i="5"/>
  <c r="C45" i="5"/>
  <c r="F44" i="5"/>
  <c r="E44" i="5"/>
  <c r="C44" i="5"/>
  <c r="F43" i="5"/>
  <c r="E43" i="5"/>
  <c r="C43" i="5"/>
  <c r="F42" i="5"/>
  <c r="E42" i="5"/>
  <c r="C42" i="5"/>
  <c r="F41" i="5"/>
  <c r="E41" i="5"/>
  <c r="C41" i="5"/>
  <c r="F40" i="5"/>
  <c r="E40" i="5"/>
  <c r="C40" i="5"/>
  <c r="F39" i="5"/>
  <c r="E39" i="5"/>
  <c r="C39" i="5"/>
  <c r="F38" i="5"/>
  <c r="E38" i="5"/>
  <c r="C38" i="5"/>
  <c r="F37" i="5"/>
  <c r="E37" i="5"/>
  <c r="C37" i="5"/>
  <c r="F36" i="5"/>
  <c r="E36" i="5"/>
  <c r="C36" i="5"/>
  <c r="F35" i="5"/>
  <c r="E35" i="5"/>
  <c r="C35" i="5"/>
  <c r="E31" i="5"/>
  <c r="F30" i="5"/>
  <c r="E30" i="5"/>
  <c r="C30" i="5"/>
  <c r="F29" i="5"/>
  <c r="E29" i="5"/>
  <c r="C29" i="5"/>
  <c r="F28" i="5"/>
  <c r="E28" i="5"/>
  <c r="C28" i="5"/>
  <c r="F27" i="5"/>
  <c r="E27" i="5"/>
  <c r="C27" i="5"/>
  <c r="F26" i="5"/>
  <c r="E26" i="5"/>
  <c r="C26" i="5"/>
  <c r="F25" i="5"/>
  <c r="E25" i="5"/>
  <c r="C25" i="5"/>
  <c r="F24" i="5"/>
  <c r="E24" i="5"/>
  <c r="C24" i="5"/>
  <c r="F23" i="5"/>
  <c r="E23" i="5"/>
  <c r="C23" i="5"/>
  <c r="F22" i="5"/>
  <c r="E22" i="5"/>
  <c r="C22" i="5"/>
  <c r="F21" i="5"/>
  <c r="E21" i="5"/>
  <c r="C21" i="5"/>
  <c r="F20" i="5"/>
  <c r="E20" i="5"/>
  <c r="C20" i="5"/>
  <c r="F19" i="5"/>
  <c r="E19" i="5"/>
  <c r="C19" i="5"/>
  <c r="F14" i="5"/>
  <c r="E14" i="5"/>
  <c r="C14" i="5"/>
  <c r="F13" i="5"/>
  <c r="E13" i="5"/>
  <c r="C13" i="5"/>
  <c r="F12" i="5"/>
  <c r="E12" i="5"/>
  <c r="C12" i="5"/>
  <c r="F11" i="5"/>
  <c r="E11" i="5"/>
  <c r="C11" i="5"/>
  <c r="R10" i="5"/>
  <c r="F10" i="5"/>
  <c r="E10" i="5"/>
  <c r="C10" i="5"/>
  <c r="R9" i="5"/>
  <c r="F9" i="5"/>
  <c r="E9" i="5"/>
  <c r="C9" i="5"/>
  <c r="F8" i="5"/>
  <c r="E8" i="5"/>
  <c r="C8" i="5"/>
  <c r="F7" i="5"/>
  <c r="E7" i="5"/>
  <c r="C7" i="5"/>
  <c r="F6" i="5"/>
  <c r="E6" i="5"/>
  <c r="C6" i="5"/>
  <c r="F5" i="5"/>
  <c r="E5" i="5"/>
  <c r="C5" i="5"/>
  <c r="F4" i="5"/>
  <c r="E4" i="5"/>
  <c r="C4" i="5"/>
  <c r="F3" i="5"/>
  <c r="E3" i="5"/>
  <c r="C3" i="5"/>
  <c r="F92" i="4"/>
  <c r="E92" i="4"/>
  <c r="C92" i="4"/>
  <c r="F91" i="4"/>
  <c r="E91" i="4"/>
  <c r="C91" i="4"/>
  <c r="F90" i="4"/>
  <c r="E90" i="4"/>
  <c r="C90" i="4"/>
  <c r="F89" i="4"/>
  <c r="E89" i="4"/>
  <c r="C89" i="4"/>
  <c r="F88" i="4"/>
  <c r="E88" i="4"/>
  <c r="C88" i="4"/>
  <c r="F87" i="4"/>
  <c r="E87" i="4"/>
  <c r="C87" i="4"/>
  <c r="F86" i="4"/>
  <c r="E86" i="4"/>
  <c r="C86" i="4"/>
  <c r="F85" i="4"/>
  <c r="E85" i="4"/>
  <c r="C85" i="4"/>
  <c r="F84" i="4"/>
  <c r="E84" i="4"/>
  <c r="C84" i="4"/>
  <c r="F83" i="4"/>
  <c r="E83" i="4"/>
  <c r="C83" i="4"/>
  <c r="F82" i="4"/>
  <c r="E82" i="4"/>
  <c r="C82" i="4"/>
  <c r="F81" i="4"/>
  <c r="E81" i="4"/>
  <c r="C81" i="4"/>
  <c r="F77" i="4"/>
  <c r="E77" i="4"/>
  <c r="C77" i="4"/>
  <c r="F76" i="4"/>
  <c r="E76" i="4"/>
  <c r="C76" i="4"/>
  <c r="F75" i="4"/>
  <c r="E75" i="4"/>
  <c r="C75" i="4"/>
  <c r="F74" i="4"/>
  <c r="E74" i="4"/>
  <c r="C74" i="4"/>
  <c r="F73" i="4"/>
  <c r="E73" i="4"/>
  <c r="C73" i="4"/>
  <c r="F72" i="4"/>
  <c r="E72" i="4"/>
  <c r="C72" i="4"/>
  <c r="F71" i="4"/>
  <c r="E71" i="4"/>
  <c r="C71" i="4"/>
  <c r="F70" i="4"/>
  <c r="E70" i="4"/>
  <c r="C70" i="4"/>
  <c r="F69" i="4"/>
  <c r="E69" i="4"/>
  <c r="C69" i="4"/>
  <c r="F68" i="4"/>
  <c r="E68" i="4"/>
  <c r="C68" i="4"/>
  <c r="F67" i="4"/>
  <c r="E67" i="4"/>
  <c r="C67" i="4"/>
  <c r="F66" i="4"/>
  <c r="E66" i="4"/>
  <c r="C66" i="4"/>
  <c r="F62" i="4"/>
  <c r="E62" i="4"/>
  <c r="C62" i="4"/>
  <c r="F61" i="4"/>
  <c r="E61" i="4"/>
  <c r="C61" i="4"/>
  <c r="F60" i="4"/>
  <c r="E60" i="4"/>
  <c r="C60" i="4"/>
  <c r="F59" i="4"/>
  <c r="E59" i="4"/>
  <c r="C59" i="4"/>
  <c r="F58" i="4"/>
  <c r="E58" i="4"/>
  <c r="C58" i="4"/>
  <c r="F57" i="4"/>
  <c r="E57" i="4"/>
  <c r="C57" i="4"/>
  <c r="F56" i="4"/>
  <c r="E56" i="4"/>
  <c r="C56" i="4"/>
  <c r="F55" i="4"/>
  <c r="E55" i="4"/>
  <c r="C55" i="4"/>
  <c r="F54" i="4"/>
  <c r="E54" i="4"/>
  <c r="C54" i="4"/>
  <c r="F53" i="4"/>
  <c r="E53" i="4"/>
  <c r="C53" i="4"/>
  <c r="F52" i="4"/>
  <c r="E52" i="4"/>
  <c r="C52" i="4"/>
  <c r="F51" i="4"/>
  <c r="E51" i="4"/>
  <c r="C51" i="4"/>
  <c r="F46" i="4"/>
  <c r="E46" i="4"/>
  <c r="C46" i="4"/>
  <c r="F45" i="4"/>
  <c r="E45" i="4"/>
  <c r="C45" i="4"/>
  <c r="F44" i="4"/>
  <c r="E44" i="4"/>
  <c r="C44" i="4"/>
  <c r="F43" i="4"/>
  <c r="E43" i="4"/>
  <c r="C43" i="4"/>
  <c r="F42" i="4"/>
  <c r="E42" i="4"/>
  <c r="C42" i="4"/>
  <c r="F41" i="4"/>
  <c r="E41" i="4"/>
  <c r="C41" i="4"/>
  <c r="F40" i="4"/>
  <c r="E40" i="4"/>
  <c r="C40" i="4"/>
  <c r="F39" i="4"/>
  <c r="E39" i="4"/>
  <c r="C39" i="4"/>
  <c r="F38" i="4"/>
  <c r="E38" i="4"/>
  <c r="C38" i="4"/>
  <c r="F37" i="4"/>
  <c r="E37" i="4"/>
  <c r="C37" i="4"/>
  <c r="F36" i="4"/>
  <c r="E36" i="4"/>
  <c r="C36" i="4"/>
  <c r="F35" i="4"/>
  <c r="E35" i="4"/>
  <c r="C35" i="4"/>
  <c r="F30" i="4"/>
  <c r="E30" i="4"/>
  <c r="C30" i="4"/>
  <c r="F29" i="4"/>
  <c r="E29" i="4"/>
  <c r="C29" i="4"/>
  <c r="F28" i="4"/>
  <c r="E28" i="4"/>
  <c r="C28" i="4"/>
  <c r="F27" i="4"/>
  <c r="E27" i="4"/>
  <c r="C27" i="4"/>
  <c r="F26" i="4"/>
  <c r="E26" i="4"/>
  <c r="C26" i="4"/>
  <c r="F25" i="4"/>
  <c r="E25" i="4"/>
  <c r="C25" i="4"/>
  <c r="F24" i="4"/>
  <c r="E24" i="4"/>
  <c r="C24" i="4"/>
  <c r="F23" i="4"/>
  <c r="E23" i="4"/>
  <c r="C23" i="4"/>
  <c r="F22" i="4"/>
  <c r="E22" i="4"/>
  <c r="C22" i="4"/>
  <c r="F21" i="4"/>
  <c r="E21" i="4"/>
  <c r="C21" i="4"/>
  <c r="F20" i="4"/>
  <c r="E20" i="4"/>
  <c r="C20" i="4"/>
  <c r="F19" i="4"/>
  <c r="E19" i="4"/>
  <c r="C19" i="4"/>
  <c r="F14" i="4"/>
  <c r="E14" i="4"/>
  <c r="C14" i="4"/>
  <c r="F13" i="4"/>
  <c r="E13" i="4"/>
  <c r="C13" i="4"/>
  <c r="F12" i="4"/>
  <c r="E12" i="4"/>
  <c r="C12" i="4"/>
  <c r="F11" i="4"/>
  <c r="E11" i="4"/>
  <c r="C11" i="4"/>
  <c r="S10" i="4"/>
  <c r="F10" i="4"/>
  <c r="E10" i="4"/>
  <c r="C10" i="4"/>
  <c r="S9" i="4"/>
  <c r="F9" i="4"/>
  <c r="E9" i="4"/>
  <c r="C9" i="4"/>
  <c r="F8" i="4"/>
  <c r="E8" i="4"/>
  <c r="C8" i="4"/>
  <c r="F7" i="4"/>
  <c r="E7" i="4"/>
  <c r="C7" i="4"/>
  <c r="F6" i="4"/>
  <c r="E6" i="4"/>
  <c r="C6" i="4"/>
  <c r="F5" i="4"/>
  <c r="E5" i="4"/>
  <c r="C5" i="4"/>
  <c r="F4" i="4"/>
  <c r="E4" i="4"/>
  <c r="C4" i="4"/>
  <c r="F3" i="4"/>
  <c r="E3" i="4"/>
  <c r="C3" i="4"/>
  <c r="F96" i="16"/>
  <c r="E96" i="16"/>
  <c r="C96" i="16"/>
  <c r="F95" i="16"/>
  <c r="E95" i="16"/>
  <c r="C95" i="16"/>
  <c r="F94" i="16"/>
  <c r="E94" i="16"/>
  <c r="C94" i="16"/>
  <c r="F93" i="16"/>
  <c r="E93" i="16"/>
  <c r="C93" i="16"/>
  <c r="F92" i="16"/>
  <c r="E92" i="16"/>
  <c r="C92" i="16"/>
  <c r="F91" i="16"/>
  <c r="E91" i="16"/>
  <c r="C91" i="16"/>
  <c r="F90" i="16"/>
  <c r="E90" i="16"/>
  <c r="C90" i="16"/>
  <c r="F89" i="16"/>
  <c r="E89" i="16"/>
  <c r="C89" i="16"/>
  <c r="F88" i="16"/>
  <c r="E88" i="16"/>
  <c r="C88" i="16"/>
  <c r="F87" i="16"/>
  <c r="E87" i="16"/>
  <c r="C87" i="16"/>
  <c r="F86" i="16"/>
  <c r="E86" i="16"/>
  <c r="C86" i="16"/>
  <c r="F85" i="16"/>
  <c r="E85" i="16"/>
  <c r="C85" i="16"/>
  <c r="F80" i="16"/>
  <c r="E80" i="16"/>
  <c r="C80" i="16"/>
  <c r="F79" i="16"/>
  <c r="E79" i="16"/>
  <c r="C79" i="16"/>
  <c r="F78" i="16"/>
  <c r="E78" i="16"/>
  <c r="C78" i="16"/>
  <c r="F77" i="16"/>
  <c r="E77" i="16"/>
  <c r="C77" i="16"/>
  <c r="F76" i="16"/>
  <c r="E76" i="16"/>
  <c r="C76" i="16"/>
  <c r="F75" i="16"/>
  <c r="E75" i="16"/>
  <c r="C75" i="16"/>
  <c r="F74" i="16"/>
  <c r="E74" i="16"/>
  <c r="C74" i="16"/>
  <c r="F73" i="16"/>
  <c r="E73" i="16"/>
  <c r="C73" i="16"/>
  <c r="F72" i="16"/>
  <c r="E72" i="16"/>
  <c r="C72" i="16"/>
  <c r="F71" i="16"/>
  <c r="E71" i="16"/>
  <c r="C71" i="16"/>
  <c r="F70" i="16"/>
  <c r="E70" i="16"/>
  <c r="C70" i="16"/>
  <c r="F69" i="16"/>
  <c r="E69" i="16"/>
  <c r="C69" i="16"/>
  <c r="F64" i="16"/>
  <c r="E64" i="16"/>
  <c r="C64" i="16"/>
  <c r="F63" i="16"/>
  <c r="E63" i="16"/>
  <c r="C63" i="16"/>
  <c r="F62" i="16"/>
  <c r="E62" i="16"/>
  <c r="C62" i="16"/>
  <c r="F61" i="16"/>
  <c r="E61" i="16"/>
  <c r="C61" i="16"/>
  <c r="F60" i="16"/>
  <c r="E60" i="16"/>
  <c r="C60" i="16"/>
  <c r="F59" i="16"/>
  <c r="E59" i="16"/>
  <c r="C59" i="16"/>
  <c r="F58" i="16"/>
  <c r="E58" i="16"/>
  <c r="C58" i="16"/>
  <c r="F57" i="16"/>
  <c r="E57" i="16"/>
  <c r="C57" i="16"/>
  <c r="F56" i="16"/>
  <c r="E56" i="16"/>
  <c r="C56" i="16"/>
  <c r="F55" i="16"/>
  <c r="E55" i="16"/>
  <c r="C55" i="16"/>
  <c r="F54" i="16"/>
  <c r="E54" i="16"/>
  <c r="C54" i="16"/>
  <c r="F53" i="16"/>
  <c r="E53" i="16"/>
  <c r="C53" i="16"/>
  <c r="F48" i="16"/>
  <c r="E48" i="16"/>
  <c r="C48" i="16"/>
  <c r="F47" i="16"/>
  <c r="E47" i="16"/>
  <c r="C47" i="16"/>
  <c r="F46" i="16"/>
  <c r="E46" i="16"/>
  <c r="C46" i="16"/>
  <c r="F45" i="16"/>
  <c r="E45" i="16"/>
  <c r="C45" i="16"/>
  <c r="F44" i="16"/>
  <c r="E44" i="16"/>
  <c r="C44" i="16"/>
  <c r="F43" i="16"/>
  <c r="E43" i="16"/>
  <c r="C43" i="16"/>
  <c r="F42" i="16"/>
  <c r="E42" i="16"/>
  <c r="C42" i="16"/>
  <c r="F41" i="16"/>
  <c r="E41" i="16"/>
  <c r="C41" i="16"/>
  <c r="F40" i="16"/>
  <c r="E40" i="16"/>
  <c r="C40" i="16"/>
  <c r="F39" i="16"/>
  <c r="E39" i="16"/>
  <c r="C39" i="16"/>
  <c r="F38" i="16"/>
  <c r="E38" i="16"/>
  <c r="C38" i="16"/>
  <c r="F37" i="16"/>
  <c r="E37" i="16"/>
  <c r="C37" i="16"/>
  <c r="F31" i="16"/>
  <c r="E31" i="16"/>
  <c r="C31" i="16"/>
  <c r="F30" i="16"/>
  <c r="E30" i="16"/>
  <c r="C30" i="16"/>
  <c r="F29" i="16"/>
  <c r="E29" i="16"/>
  <c r="C29" i="16"/>
  <c r="F28" i="16"/>
  <c r="E28" i="16"/>
  <c r="C28" i="16"/>
  <c r="F27" i="16"/>
  <c r="E27" i="16"/>
  <c r="C27" i="16"/>
  <c r="F26" i="16"/>
  <c r="E26" i="16"/>
  <c r="C26" i="16"/>
  <c r="F25" i="16"/>
  <c r="E25" i="16"/>
  <c r="C25" i="16"/>
  <c r="F24" i="16"/>
  <c r="E24" i="16"/>
  <c r="C24" i="16"/>
  <c r="F23" i="16"/>
  <c r="E23" i="16"/>
  <c r="C23" i="16"/>
  <c r="F22" i="16"/>
  <c r="E22" i="16"/>
  <c r="C22" i="16"/>
  <c r="F21" i="16"/>
  <c r="E21" i="16"/>
  <c r="C21" i="16"/>
  <c r="F20" i="16"/>
  <c r="E20" i="16"/>
  <c r="C20" i="16"/>
  <c r="F14" i="16"/>
  <c r="E14" i="16"/>
  <c r="C14" i="16"/>
  <c r="F13" i="16"/>
  <c r="E13" i="16"/>
  <c r="C13" i="16"/>
  <c r="F12" i="16"/>
  <c r="E12" i="16"/>
  <c r="C12" i="16"/>
  <c r="F11" i="16"/>
  <c r="E11" i="16"/>
  <c r="C11" i="16"/>
  <c r="Q10" i="16"/>
  <c r="F10" i="16"/>
  <c r="E10" i="16"/>
  <c r="C10" i="16"/>
  <c r="Q9" i="16"/>
  <c r="F9" i="16"/>
  <c r="E9" i="16"/>
  <c r="C9" i="16"/>
  <c r="F8" i="16"/>
  <c r="E8" i="16"/>
  <c r="C8" i="16"/>
  <c r="F7" i="16"/>
  <c r="E7" i="16"/>
  <c r="C7" i="16"/>
  <c r="F6" i="16"/>
  <c r="E6" i="16"/>
  <c r="C6" i="16"/>
  <c r="F5" i="16"/>
  <c r="E5" i="16"/>
  <c r="C5" i="16"/>
  <c r="F4" i="16"/>
  <c r="E4" i="16"/>
  <c r="C4" i="16"/>
  <c r="F3" i="16"/>
  <c r="E3" i="16"/>
  <c r="C3" i="16"/>
  <c r="F93" i="17"/>
  <c r="E93" i="17"/>
  <c r="C93" i="17"/>
  <c r="F92" i="17"/>
  <c r="E92" i="17"/>
  <c r="C92" i="17"/>
  <c r="E91" i="17"/>
  <c r="C91" i="17"/>
  <c r="E90" i="17"/>
  <c r="C90" i="17"/>
  <c r="E89" i="17"/>
  <c r="C89" i="17"/>
  <c r="F88" i="17"/>
  <c r="E88" i="17"/>
  <c r="C88" i="17"/>
  <c r="F87" i="17"/>
  <c r="E87" i="17"/>
  <c r="C87" i="17"/>
  <c r="F86" i="17"/>
  <c r="E86" i="17"/>
  <c r="C86" i="17"/>
  <c r="F85" i="17"/>
  <c r="E85" i="17"/>
  <c r="C85" i="17"/>
  <c r="F84" i="17"/>
  <c r="E84" i="17"/>
  <c r="C84" i="17"/>
  <c r="F77" i="17"/>
  <c r="E77" i="17"/>
  <c r="C77" i="17"/>
  <c r="F76" i="17"/>
  <c r="E76" i="17"/>
  <c r="C76" i="17"/>
  <c r="E75" i="17"/>
  <c r="C75" i="17"/>
  <c r="E74" i="17"/>
  <c r="C74" i="17"/>
  <c r="E73" i="17"/>
  <c r="C73" i="17"/>
  <c r="F72" i="17"/>
  <c r="E72" i="17"/>
  <c r="C72" i="17"/>
  <c r="F71" i="17"/>
  <c r="E71" i="17"/>
  <c r="C71" i="17"/>
  <c r="F70" i="17"/>
  <c r="E70" i="17"/>
  <c r="C70" i="17"/>
  <c r="F69" i="17"/>
  <c r="E69" i="17"/>
  <c r="C69" i="17"/>
  <c r="F68" i="17"/>
  <c r="E68" i="17"/>
  <c r="C68" i="17"/>
  <c r="F61" i="17"/>
  <c r="E61" i="17"/>
  <c r="C61" i="17"/>
  <c r="F60" i="17"/>
  <c r="E60" i="17"/>
  <c r="C60" i="17"/>
  <c r="E59" i="17"/>
  <c r="C59" i="17"/>
  <c r="E58" i="17"/>
  <c r="C58" i="17"/>
  <c r="E57" i="17"/>
  <c r="C57" i="17"/>
  <c r="F56" i="17"/>
  <c r="E56" i="17"/>
  <c r="C56" i="17"/>
  <c r="F55" i="17"/>
  <c r="E55" i="17"/>
  <c r="C55" i="17"/>
  <c r="F54" i="17"/>
  <c r="E54" i="17"/>
  <c r="C54" i="17"/>
  <c r="F53" i="17"/>
  <c r="E53" i="17"/>
  <c r="C53" i="17"/>
  <c r="F52" i="17"/>
  <c r="E52" i="17"/>
  <c r="C52" i="17"/>
  <c r="F45" i="17"/>
  <c r="E45" i="17"/>
  <c r="C45" i="17"/>
  <c r="F44" i="17"/>
  <c r="E44" i="17"/>
  <c r="C44" i="17"/>
  <c r="E43" i="17"/>
  <c r="C43" i="17"/>
  <c r="E42" i="17"/>
  <c r="C42" i="17"/>
  <c r="E41" i="17"/>
  <c r="C41" i="17"/>
  <c r="F40" i="17"/>
  <c r="E40" i="17"/>
  <c r="C40" i="17"/>
  <c r="F39" i="17"/>
  <c r="E39" i="17"/>
  <c r="C39" i="17"/>
  <c r="F38" i="17"/>
  <c r="E38" i="17"/>
  <c r="C38" i="17"/>
  <c r="F37" i="17"/>
  <c r="E37" i="17"/>
  <c r="C37" i="17"/>
  <c r="F36" i="17"/>
  <c r="E36" i="17"/>
  <c r="C36" i="17"/>
  <c r="F31" i="17"/>
  <c r="E31" i="17"/>
  <c r="C31" i="17"/>
  <c r="F30" i="17"/>
  <c r="E30" i="17"/>
  <c r="C30" i="17"/>
  <c r="F29" i="17"/>
  <c r="E29" i="17"/>
  <c r="C29" i="17"/>
  <c r="F28" i="17"/>
  <c r="E28" i="17"/>
  <c r="C28" i="17"/>
  <c r="F27" i="17"/>
  <c r="E27" i="17"/>
  <c r="C27" i="17"/>
  <c r="F26" i="17"/>
  <c r="E26" i="17"/>
  <c r="C26" i="17"/>
  <c r="F25" i="17"/>
  <c r="E25" i="17"/>
  <c r="C25" i="17"/>
  <c r="F24" i="17"/>
  <c r="E24" i="17"/>
  <c r="C24" i="17"/>
  <c r="F23" i="17"/>
  <c r="E23" i="17"/>
  <c r="C23" i="17"/>
  <c r="F22" i="17"/>
  <c r="E22" i="17"/>
  <c r="C22" i="17"/>
  <c r="F21" i="17"/>
  <c r="E21" i="17"/>
  <c r="C21" i="17"/>
  <c r="F20" i="17"/>
  <c r="E20" i="17"/>
  <c r="C20" i="17"/>
  <c r="F14" i="17"/>
  <c r="E14" i="17"/>
  <c r="C14" i="17"/>
  <c r="F13" i="17"/>
  <c r="E13" i="17"/>
  <c r="C13" i="17"/>
  <c r="F12" i="17"/>
  <c r="E12" i="17"/>
  <c r="C12" i="17"/>
  <c r="F11" i="17"/>
  <c r="E11" i="17"/>
  <c r="C11" i="17"/>
  <c r="Q10" i="17"/>
  <c r="F10" i="17"/>
  <c r="E10" i="17"/>
  <c r="C10" i="17"/>
  <c r="Q9" i="17"/>
  <c r="F9" i="17"/>
  <c r="E9" i="17"/>
  <c r="C9" i="17"/>
  <c r="F8" i="17"/>
  <c r="E8" i="17"/>
  <c r="C8" i="17"/>
  <c r="F7" i="17"/>
  <c r="E7" i="17"/>
  <c r="C7" i="17"/>
  <c r="F6" i="17"/>
  <c r="E6" i="17"/>
  <c r="C6" i="17"/>
  <c r="F5" i="17"/>
  <c r="E5" i="17"/>
  <c r="C5" i="17"/>
  <c r="F4" i="17"/>
  <c r="E4" i="17"/>
  <c r="C4" i="17"/>
  <c r="F3" i="17"/>
  <c r="E3" i="17"/>
  <c r="C3" i="17"/>
  <c r="F94" i="6"/>
  <c r="E94" i="6"/>
  <c r="C94" i="6"/>
  <c r="F93" i="6"/>
  <c r="E93" i="6"/>
  <c r="C93" i="6"/>
  <c r="F92" i="6"/>
  <c r="E92" i="6"/>
  <c r="C92" i="6"/>
  <c r="F91" i="6"/>
  <c r="E91" i="6"/>
  <c r="C91" i="6"/>
  <c r="F90" i="6"/>
  <c r="E90" i="6"/>
  <c r="C90" i="6"/>
  <c r="F89" i="6"/>
  <c r="E89" i="6"/>
  <c r="C89" i="6"/>
  <c r="F88" i="6"/>
  <c r="E88" i="6"/>
  <c r="C88" i="6"/>
  <c r="F87" i="6"/>
  <c r="E87" i="6"/>
  <c r="C87" i="6"/>
  <c r="F86" i="6"/>
  <c r="E86" i="6"/>
  <c r="C86" i="6"/>
  <c r="F85" i="6"/>
  <c r="E85" i="6"/>
  <c r="C85" i="6"/>
  <c r="F84" i="6"/>
  <c r="E84" i="6"/>
  <c r="C84" i="6"/>
  <c r="F83" i="6"/>
  <c r="E83" i="6"/>
  <c r="C83" i="6"/>
  <c r="F78" i="6"/>
  <c r="E78" i="6"/>
  <c r="C78" i="6"/>
  <c r="F77" i="6"/>
  <c r="E77" i="6"/>
  <c r="C77" i="6"/>
  <c r="F76" i="6"/>
  <c r="E76" i="6"/>
  <c r="C76" i="6"/>
  <c r="F75" i="6"/>
  <c r="E75" i="6"/>
  <c r="C75" i="6"/>
  <c r="F74" i="6"/>
  <c r="E74" i="6"/>
  <c r="C74" i="6"/>
  <c r="F73" i="6"/>
  <c r="E73" i="6"/>
  <c r="C73" i="6"/>
  <c r="F72" i="6"/>
  <c r="E72" i="6"/>
  <c r="C72" i="6"/>
  <c r="F71" i="6"/>
  <c r="E71" i="6"/>
  <c r="C71" i="6"/>
  <c r="F70" i="6"/>
  <c r="E70" i="6"/>
  <c r="C70" i="6"/>
  <c r="F69" i="6"/>
  <c r="E69" i="6"/>
  <c r="C69" i="6"/>
  <c r="F68" i="6"/>
  <c r="E68" i="6"/>
  <c r="C68" i="6"/>
  <c r="F67" i="6"/>
  <c r="E67" i="6"/>
  <c r="C67" i="6"/>
  <c r="F62" i="6"/>
  <c r="E62" i="6"/>
  <c r="C62" i="6"/>
  <c r="F61" i="6"/>
  <c r="E61" i="6"/>
  <c r="C61" i="6"/>
  <c r="F60" i="6"/>
  <c r="E60" i="6"/>
  <c r="C60" i="6"/>
  <c r="F59" i="6"/>
  <c r="E59" i="6"/>
  <c r="C59" i="6"/>
  <c r="F58" i="6"/>
  <c r="E58" i="6"/>
  <c r="C58" i="6"/>
  <c r="F57" i="6"/>
  <c r="E57" i="6"/>
  <c r="C57" i="6"/>
  <c r="F56" i="6"/>
  <c r="E56" i="6"/>
  <c r="C56" i="6"/>
  <c r="F55" i="6"/>
  <c r="E55" i="6"/>
  <c r="C55" i="6"/>
  <c r="F54" i="6"/>
  <c r="E54" i="6"/>
  <c r="C54" i="6"/>
  <c r="F53" i="6"/>
  <c r="E53" i="6"/>
  <c r="C53" i="6"/>
  <c r="F52" i="6"/>
  <c r="E52" i="6"/>
  <c r="C52" i="6"/>
  <c r="F51" i="6"/>
  <c r="E51" i="6"/>
  <c r="C51" i="6"/>
  <c r="F46" i="6"/>
  <c r="E46" i="6"/>
  <c r="C46" i="6"/>
  <c r="F45" i="6"/>
  <c r="E45" i="6"/>
  <c r="C45" i="6"/>
  <c r="F44" i="6"/>
  <c r="E44" i="6"/>
  <c r="C44" i="6"/>
  <c r="F43" i="6"/>
  <c r="E43" i="6"/>
  <c r="C43" i="6"/>
  <c r="F42" i="6"/>
  <c r="E42" i="6"/>
  <c r="C42" i="6"/>
  <c r="F41" i="6"/>
  <c r="E41" i="6"/>
  <c r="C41" i="6"/>
  <c r="F40" i="6"/>
  <c r="E40" i="6"/>
  <c r="C40" i="6"/>
  <c r="F39" i="6"/>
  <c r="E39" i="6"/>
  <c r="C39" i="6"/>
  <c r="F38" i="6"/>
  <c r="E38" i="6"/>
  <c r="C38" i="6"/>
  <c r="F37" i="6"/>
  <c r="E37" i="6"/>
  <c r="C37" i="6"/>
  <c r="F36" i="6"/>
  <c r="E36" i="6"/>
  <c r="C36" i="6"/>
  <c r="F35" i="6"/>
  <c r="E35" i="6"/>
  <c r="C35" i="6"/>
  <c r="F30" i="6"/>
  <c r="E30" i="6"/>
  <c r="C30" i="6"/>
  <c r="F29" i="6"/>
  <c r="E29" i="6"/>
  <c r="C29" i="6"/>
  <c r="F28" i="6"/>
  <c r="E28" i="6"/>
  <c r="C28" i="6"/>
  <c r="F27" i="6"/>
  <c r="E27" i="6"/>
  <c r="C27" i="6"/>
  <c r="F26" i="6"/>
  <c r="E26" i="6"/>
  <c r="C26" i="6"/>
  <c r="F25" i="6"/>
  <c r="E25" i="6"/>
  <c r="C25" i="6"/>
  <c r="F24" i="6"/>
  <c r="E24" i="6"/>
  <c r="C24" i="6"/>
  <c r="F23" i="6"/>
  <c r="E23" i="6"/>
  <c r="C23" i="6"/>
  <c r="F22" i="6"/>
  <c r="E22" i="6"/>
  <c r="C22" i="6"/>
  <c r="F21" i="6"/>
  <c r="E21" i="6"/>
  <c r="C21" i="6"/>
  <c r="F20" i="6"/>
  <c r="E20" i="6"/>
  <c r="C20" i="6"/>
  <c r="F19" i="6"/>
  <c r="E19" i="6"/>
  <c r="C19" i="6"/>
  <c r="F14" i="6"/>
  <c r="E14" i="6"/>
  <c r="C14" i="6"/>
  <c r="F13" i="6"/>
  <c r="E13" i="6"/>
  <c r="C13" i="6"/>
  <c r="F12" i="6"/>
  <c r="E12" i="6"/>
  <c r="C12" i="6"/>
  <c r="F11" i="6"/>
  <c r="E11" i="6"/>
  <c r="C11" i="6"/>
  <c r="F10" i="6"/>
  <c r="E10" i="6"/>
  <c r="C10" i="6"/>
  <c r="S9" i="6"/>
  <c r="F9" i="6"/>
  <c r="E9" i="6"/>
  <c r="C9" i="6"/>
  <c r="S8" i="6"/>
  <c r="F8" i="6"/>
  <c r="E8" i="6"/>
  <c r="C8" i="6"/>
  <c r="F7" i="6"/>
  <c r="E7" i="6"/>
  <c r="C7" i="6"/>
  <c r="F6" i="6"/>
  <c r="E6" i="6"/>
  <c r="C6" i="6"/>
  <c r="F5" i="6"/>
  <c r="E5" i="6"/>
  <c r="C5" i="6"/>
  <c r="F4" i="6"/>
  <c r="E4" i="6"/>
  <c r="C4" i="6"/>
  <c r="F3" i="6"/>
  <c r="E3" i="6"/>
  <c r="C3" i="6"/>
  <c r="F91" i="15"/>
  <c r="E91" i="15"/>
  <c r="C91" i="15"/>
  <c r="F90" i="15"/>
  <c r="E90" i="15"/>
  <c r="C90" i="15"/>
  <c r="F89" i="15"/>
  <c r="E89" i="15"/>
  <c r="C89" i="15"/>
  <c r="F88" i="15"/>
  <c r="E88" i="15"/>
  <c r="C88" i="15"/>
  <c r="F87" i="15"/>
  <c r="E87" i="15"/>
  <c r="C87" i="15"/>
  <c r="F86" i="15"/>
  <c r="E86" i="15"/>
  <c r="C86" i="15"/>
  <c r="F85" i="15"/>
  <c r="E85" i="15"/>
  <c r="C85" i="15"/>
  <c r="F84" i="15"/>
  <c r="E84" i="15"/>
  <c r="C84" i="15"/>
  <c r="F83" i="15"/>
  <c r="E83" i="15"/>
  <c r="C83" i="15"/>
  <c r="F76" i="15"/>
  <c r="E76" i="15"/>
  <c r="C76" i="15"/>
  <c r="F75" i="15"/>
  <c r="E75" i="15"/>
  <c r="C75" i="15"/>
  <c r="F74" i="15"/>
  <c r="E74" i="15"/>
  <c r="C74" i="15"/>
  <c r="F73" i="15"/>
  <c r="E73" i="15"/>
  <c r="C73" i="15"/>
  <c r="F72" i="15"/>
  <c r="E72" i="15"/>
  <c r="C72" i="15"/>
  <c r="F71" i="15"/>
  <c r="E71" i="15"/>
  <c r="C71" i="15"/>
  <c r="F70" i="15"/>
  <c r="E70" i="15"/>
  <c r="C70" i="15"/>
  <c r="F69" i="15"/>
  <c r="E69" i="15"/>
  <c r="C69" i="15"/>
  <c r="F68" i="15"/>
  <c r="E68" i="15"/>
  <c r="C68" i="15"/>
  <c r="F61" i="15"/>
  <c r="E61" i="15"/>
  <c r="C61" i="15"/>
  <c r="F60" i="15"/>
  <c r="E60" i="15"/>
  <c r="C60" i="15"/>
  <c r="F59" i="15"/>
  <c r="E59" i="15"/>
  <c r="C59" i="15"/>
  <c r="F58" i="15"/>
  <c r="E58" i="15"/>
  <c r="C58" i="15"/>
  <c r="F57" i="15"/>
  <c r="E57" i="15"/>
  <c r="C57" i="15"/>
  <c r="F56" i="15"/>
  <c r="E56" i="15"/>
  <c r="C56" i="15"/>
  <c r="F55" i="15"/>
  <c r="E55" i="15"/>
  <c r="C55" i="15"/>
  <c r="F54" i="15"/>
  <c r="E54" i="15"/>
  <c r="C54" i="15"/>
  <c r="F53" i="15"/>
  <c r="E53" i="15"/>
  <c r="C53" i="15"/>
  <c r="F52" i="15"/>
  <c r="E52" i="15"/>
  <c r="C52" i="15"/>
  <c r="F45" i="15"/>
  <c r="E45" i="15"/>
  <c r="C45" i="15"/>
  <c r="F44" i="15"/>
  <c r="E44" i="15"/>
  <c r="C44" i="15"/>
  <c r="F43" i="15"/>
  <c r="E43" i="15"/>
  <c r="C43" i="15"/>
  <c r="F42" i="15"/>
  <c r="E42" i="15"/>
  <c r="C42" i="15"/>
  <c r="F41" i="15"/>
  <c r="E41" i="15"/>
  <c r="C41" i="15"/>
  <c r="F40" i="15"/>
  <c r="E40" i="15"/>
  <c r="C40" i="15"/>
  <c r="F39" i="15"/>
  <c r="E39" i="15"/>
  <c r="C39" i="15"/>
  <c r="F38" i="15"/>
  <c r="E38" i="15"/>
  <c r="C38" i="15"/>
  <c r="F37" i="15"/>
  <c r="E37" i="15"/>
  <c r="C37" i="15"/>
  <c r="F36" i="15"/>
  <c r="E36" i="15"/>
  <c r="C36" i="15"/>
  <c r="F26" i="15"/>
  <c r="E26" i="15"/>
  <c r="C26" i="15"/>
  <c r="F25" i="15"/>
  <c r="E25" i="15"/>
  <c r="C25" i="15"/>
  <c r="F24" i="15"/>
  <c r="E24" i="15"/>
  <c r="C24" i="15"/>
  <c r="F23" i="15"/>
  <c r="E23" i="15"/>
  <c r="C23" i="15"/>
  <c r="F22" i="15"/>
  <c r="E22" i="15"/>
  <c r="C22" i="15"/>
  <c r="F21" i="15"/>
  <c r="E21" i="15"/>
  <c r="C21" i="15"/>
  <c r="F20" i="15"/>
  <c r="E20" i="15"/>
  <c r="C20" i="15"/>
  <c r="Q10" i="15"/>
  <c r="Q9" i="15"/>
  <c r="F9" i="15"/>
  <c r="E9" i="15"/>
  <c r="C9" i="15"/>
  <c r="F8" i="15"/>
  <c r="E8" i="15"/>
  <c r="C8" i="15"/>
  <c r="F7" i="15"/>
  <c r="E7" i="15"/>
  <c r="C7" i="15"/>
  <c r="F6" i="15"/>
  <c r="E6" i="15"/>
  <c r="C6" i="15"/>
  <c r="F5" i="15"/>
  <c r="E5" i="15"/>
  <c r="C5" i="15"/>
  <c r="F4" i="15"/>
  <c r="E4" i="15"/>
  <c r="C4" i="15"/>
  <c r="F3" i="15"/>
  <c r="E3" i="15"/>
  <c r="C3" i="15"/>
  <c r="F62" i="22"/>
  <c r="E62" i="22"/>
  <c r="C62" i="22"/>
  <c r="F61" i="22"/>
  <c r="E61" i="22"/>
  <c r="C61" i="22"/>
  <c r="F60" i="22"/>
  <c r="E60" i="22"/>
  <c r="C60" i="22"/>
  <c r="F59" i="22"/>
  <c r="E59" i="22"/>
  <c r="C59" i="22"/>
  <c r="F58" i="22"/>
  <c r="E58" i="22"/>
  <c r="C58" i="22"/>
  <c r="F57" i="22"/>
  <c r="E57" i="22"/>
  <c r="C57" i="22"/>
  <c r="F56" i="22"/>
  <c r="E56" i="22"/>
  <c r="C56" i="22"/>
  <c r="F55" i="22"/>
  <c r="E55" i="22"/>
  <c r="C55" i="22"/>
  <c r="F54" i="22"/>
  <c r="E54" i="22"/>
  <c r="C54" i="22"/>
  <c r="F53" i="22"/>
  <c r="E53" i="22"/>
  <c r="C53" i="22"/>
  <c r="F46" i="22"/>
  <c r="E46" i="22"/>
  <c r="C46" i="22"/>
  <c r="F45" i="22"/>
  <c r="E45" i="22"/>
  <c r="C45" i="22"/>
  <c r="F44" i="22"/>
  <c r="E44" i="22"/>
  <c r="C44" i="22"/>
  <c r="F43" i="22"/>
  <c r="E43" i="22"/>
  <c r="C43" i="22"/>
  <c r="F42" i="22"/>
  <c r="E42" i="22"/>
  <c r="C42" i="22"/>
  <c r="F41" i="22"/>
  <c r="E41" i="22"/>
  <c r="C41" i="22"/>
  <c r="F40" i="22"/>
  <c r="E40" i="22"/>
  <c r="C40" i="22"/>
  <c r="F39" i="22"/>
  <c r="E39" i="22"/>
  <c r="C39" i="22"/>
  <c r="F38" i="22"/>
  <c r="E38" i="22"/>
  <c r="C38" i="22"/>
  <c r="F37" i="22"/>
  <c r="E37" i="22"/>
  <c r="C37" i="22"/>
  <c r="F31" i="22"/>
  <c r="E31" i="22"/>
  <c r="C31" i="22"/>
  <c r="F30" i="22"/>
  <c r="E30" i="22"/>
  <c r="C30" i="22"/>
  <c r="F29" i="22"/>
  <c r="E29" i="22"/>
  <c r="C29" i="22"/>
  <c r="F28" i="22"/>
  <c r="E28" i="22"/>
  <c r="C28" i="22"/>
  <c r="F27" i="22"/>
  <c r="E27" i="22"/>
  <c r="C27" i="22"/>
  <c r="F26" i="22"/>
  <c r="E26" i="22"/>
  <c r="C26" i="22"/>
  <c r="F25" i="22"/>
  <c r="E25" i="22"/>
  <c r="C25" i="22"/>
  <c r="F24" i="22"/>
  <c r="E24" i="22"/>
  <c r="C24" i="22"/>
  <c r="F23" i="22"/>
  <c r="E23" i="22"/>
  <c r="C23" i="22"/>
  <c r="F22" i="22"/>
  <c r="E22" i="22"/>
  <c r="C22" i="22"/>
  <c r="F12" i="22"/>
  <c r="E12" i="22"/>
  <c r="C12" i="22"/>
  <c r="F11" i="22"/>
  <c r="E11" i="22"/>
  <c r="C11" i="22"/>
  <c r="F10" i="22"/>
  <c r="E10" i="22"/>
  <c r="C10" i="22"/>
  <c r="F9" i="22"/>
  <c r="E9" i="22"/>
  <c r="C9" i="22"/>
  <c r="F8" i="22"/>
  <c r="E8" i="22"/>
  <c r="C8" i="22"/>
  <c r="F7" i="22"/>
  <c r="E7" i="22"/>
  <c r="C7" i="22"/>
  <c r="F6" i="22"/>
  <c r="E6" i="22"/>
  <c r="C6" i="22"/>
  <c r="F5" i="22"/>
  <c r="E5" i="22"/>
  <c r="C5" i="22"/>
  <c r="F4" i="22"/>
  <c r="E4" i="22"/>
  <c r="C4" i="22"/>
  <c r="F3" i="22"/>
  <c r="E3" i="22"/>
  <c r="C3" i="22"/>
  <c r="F92" i="3"/>
  <c r="E92" i="3"/>
  <c r="C92" i="3"/>
  <c r="F91" i="3"/>
  <c r="E91" i="3"/>
  <c r="C91" i="3"/>
  <c r="F90" i="3"/>
  <c r="E90" i="3"/>
  <c r="C90" i="3"/>
  <c r="F89" i="3"/>
  <c r="E89" i="3"/>
  <c r="C89" i="3"/>
  <c r="F88" i="3"/>
  <c r="E88" i="3"/>
  <c r="C88" i="3"/>
  <c r="F87" i="3"/>
  <c r="E87" i="3"/>
  <c r="C87" i="3"/>
  <c r="F86" i="3"/>
  <c r="E86" i="3"/>
  <c r="C86" i="3"/>
  <c r="F85" i="3"/>
  <c r="E85" i="3"/>
  <c r="C85" i="3"/>
  <c r="F84" i="3"/>
  <c r="E84" i="3"/>
  <c r="C84" i="3"/>
  <c r="F83" i="3"/>
  <c r="E83" i="3"/>
  <c r="C83" i="3"/>
  <c r="F82" i="3"/>
  <c r="E82" i="3"/>
  <c r="C82" i="3"/>
  <c r="F81" i="3"/>
  <c r="E81" i="3"/>
  <c r="C81" i="3"/>
  <c r="F76" i="3"/>
  <c r="E76" i="3"/>
  <c r="C76" i="3"/>
  <c r="F75" i="3"/>
  <c r="E75" i="3"/>
  <c r="C75" i="3"/>
  <c r="F74" i="3"/>
  <c r="E74" i="3"/>
  <c r="C74" i="3"/>
  <c r="F73" i="3"/>
  <c r="E73" i="3"/>
  <c r="C73" i="3"/>
  <c r="F72" i="3"/>
  <c r="E72" i="3"/>
  <c r="C72" i="3"/>
  <c r="F71" i="3"/>
  <c r="E71" i="3"/>
  <c r="C71" i="3"/>
  <c r="F70" i="3"/>
  <c r="E70" i="3"/>
  <c r="C70" i="3"/>
  <c r="F69" i="3"/>
  <c r="E69" i="3"/>
  <c r="C69" i="3"/>
  <c r="F68" i="3"/>
  <c r="E68" i="3"/>
  <c r="C68" i="3"/>
  <c r="F67" i="3"/>
  <c r="E67" i="3"/>
  <c r="C67" i="3"/>
  <c r="F66" i="3"/>
  <c r="E66" i="3"/>
  <c r="C66" i="3"/>
  <c r="F65" i="3"/>
  <c r="E65" i="3"/>
  <c r="C65" i="3"/>
  <c r="F60" i="3"/>
  <c r="E60" i="3"/>
  <c r="C60" i="3"/>
  <c r="F59" i="3"/>
  <c r="E59" i="3"/>
  <c r="C59" i="3"/>
  <c r="F58" i="3"/>
  <c r="E58" i="3"/>
  <c r="C58" i="3"/>
  <c r="F57" i="3"/>
  <c r="E57" i="3"/>
  <c r="C57" i="3"/>
  <c r="F56" i="3"/>
  <c r="E56" i="3"/>
  <c r="C56" i="3"/>
  <c r="F55" i="3"/>
  <c r="E55" i="3"/>
  <c r="C55" i="3"/>
  <c r="F54" i="3"/>
  <c r="E54" i="3"/>
  <c r="C54" i="3"/>
  <c r="F53" i="3"/>
  <c r="E53" i="3"/>
  <c r="C53" i="3"/>
  <c r="F52" i="3"/>
  <c r="E52" i="3"/>
  <c r="C52" i="3"/>
  <c r="F51" i="3"/>
  <c r="E51" i="3"/>
  <c r="C51" i="3"/>
  <c r="F50" i="3"/>
  <c r="E50" i="3"/>
  <c r="C50" i="3"/>
  <c r="F49" i="3"/>
  <c r="E49" i="3"/>
  <c r="C49" i="3"/>
  <c r="F44" i="3"/>
  <c r="E44" i="3"/>
  <c r="C44" i="3"/>
  <c r="F43" i="3"/>
  <c r="E43" i="3"/>
  <c r="C43" i="3"/>
  <c r="F42" i="3"/>
  <c r="E42" i="3"/>
  <c r="C42" i="3"/>
  <c r="F41" i="3"/>
  <c r="E41" i="3"/>
  <c r="C41" i="3"/>
  <c r="F40" i="3"/>
  <c r="E40" i="3"/>
  <c r="C40" i="3"/>
  <c r="F39" i="3"/>
  <c r="E39" i="3"/>
  <c r="C39" i="3"/>
  <c r="F38" i="3"/>
  <c r="E38" i="3"/>
  <c r="C38" i="3"/>
  <c r="F37" i="3"/>
  <c r="E37" i="3"/>
  <c r="C37" i="3"/>
  <c r="F36" i="3"/>
  <c r="E36" i="3"/>
  <c r="C36" i="3"/>
  <c r="F35" i="3"/>
  <c r="E35" i="3"/>
  <c r="C35" i="3"/>
  <c r="F34" i="3"/>
  <c r="E34" i="3"/>
  <c r="C34" i="3"/>
  <c r="F33" i="3"/>
  <c r="E33" i="3"/>
  <c r="C33" i="3"/>
  <c r="F29" i="3"/>
  <c r="E29" i="3"/>
  <c r="C29" i="3"/>
  <c r="F28" i="3"/>
  <c r="E28" i="3"/>
  <c r="C28" i="3"/>
  <c r="F27" i="3"/>
  <c r="E27" i="3"/>
  <c r="C27" i="3"/>
  <c r="F26" i="3"/>
  <c r="E26" i="3"/>
  <c r="C26" i="3"/>
  <c r="F25" i="3"/>
  <c r="E25" i="3"/>
  <c r="C25" i="3"/>
  <c r="F24" i="3"/>
  <c r="E24" i="3"/>
  <c r="C24" i="3"/>
  <c r="F23" i="3"/>
  <c r="E23" i="3"/>
  <c r="C23" i="3"/>
  <c r="F22" i="3"/>
  <c r="E22" i="3"/>
  <c r="C22" i="3"/>
  <c r="F21" i="3"/>
  <c r="E21" i="3"/>
  <c r="C21" i="3"/>
  <c r="F20" i="3"/>
  <c r="E20" i="3"/>
  <c r="C20" i="3"/>
  <c r="F19" i="3"/>
  <c r="E19" i="3"/>
  <c r="C19" i="3"/>
  <c r="F18" i="3"/>
  <c r="E18" i="3"/>
  <c r="C18" i="3"/>
  <c r="F14" i="3"/>
  <c r="E14" i="3"/>
  <c r="C14" i="3"/>
  <c r="F13" i="3"/>
  <c r="E13" i="3"/>
  <c r="C13" i="3"/>
  <c r="F12" i="3"/>
  <c r="E12" i="3"/>
  <c r="C12" i="3"/>
  <c r="F11" i="3"/>
  <c r="E11" i="3"/>
  <c r="C11" i="3"/>
  <c r="R10" i="3"/>
  <c r="F10" i="3"/>
  <c r="E10" i="3"/>
  <c r="C10" i="3"/>
  <c r="R9" i="3"/>
  <c r="F9" i="3"/>
  <c r="E9" i="3"/>
  <c r="C9" i="3"/>
  <c r="F8" i="3"/>
  <c r="E8" i="3"/>
  <c r="C8" i="3"/>
  <c r="F7" i="3"/>
  <c r="E7" i="3"/>
  <c r="C7" i="3"/>
  <c r="F6" i="3"/>
  <c r="E6" i="3"/>
  <c r="C6" i="3"/>
  <c r="F5" i="3"/>
  <c r="E5" i="3"/>
  <c r="C5" i="3"/>
  <c r="F4" i="3"/>
  <c r="E4" i="3"/>
  <c r="C4" i="3"/>
  <c r="F3" i="3"/>
  <c r="E3" i="3"/>
  <c r="C3" i="3"/>
  <c r="F93" i="2"/>
  <c r="C93" i="2"/>
  <c r="F92" i="2"/>
  <c r="E92" i="2"/>
  <c r="C92" i="2"/>
  <c r="F91" i="2"/>
  <c r="E91" i="2"/>
  <c r="C91" i="2"/>
  <c r="F90" i="2"/>
  <c r="E90" i="2"/>
  <c r="C90" i="2"/>
  <c r="F89" i="2"/>
  <c r="E89" i="2"/>
  <c r="C89" i="2"/>
  <c r="F88" i="2"/>
  <c r="E88" i="2"/>
  <c r="C88" i="2"/>
  <c r="F87" i="2"/>
  <c r="E87" i="2"/>
  <c r="C87" i="2"/>
  <c r="F86" i="2"/>
  <c r="E86" i="2"/>
  <c r="C86" i="2"/>
  <c r="F85" i="2"/>
  <c r="E85" i="2"/>
  <c r="C85" i="2"/>
  <c r="F84" i="2"/>
  <c r="E84" i="2"/>
  <c r="C84" i="2"/>
  <c r="F83" i="2"/>
  <c r="E83" i="2"/>
  <c r="C83" i="2"/>
  <c r="F82" i="2"/>
  <c r="E82" i="2"/>
  <c r="C82" i="2"/>
  <c r="F78" i="2"/>
  <c r="C78" i="2"/>
  <c r="F77" i="2"/>
  <c r="E77" i="2"/>
  <c r="C77" i="2"/>
  <c r="F76" i="2"/>
  <c r="E76" i="2"/>
  <c r="C76" i="2"/>
  <c r="F75" i="2"/>
  <c r="E75" i="2"/>
  <c r="C75" i="2"/>
  <c r="F74" i="2"/>
  <c r="E74" i="2"/>
  <c r="C74" i="2"/>
  <c r="F73" i="2"/>
  <c r="E73" i="2"/>
  <c r="C73" i="2"/>
  <c r="F72" i="2"/>
  <c r="E72" i="2"/>
  <c r="C72" i="2"/>
  <c r="F71" i="2"/>
  <c r="E71" i="2"/>
  <c r="C71" i="2"/>
  <c r="F70" i="2"/>
  <c r="E70" i="2"/>
  <c r="C70" i="2"/>
  <c r="F69" i="2"/>
  <c r="E69" i="2"/>
  <c r="C69" i="2"/>
  <c r="F68" i="2"/>
  <c r="E68" i="2"/>
  <c r="C68" i="2"/>
  <c r="F67" i="2"/>
  <c r="E67" i="2"/>
  <c r="C67" i="2"/>
  <c r="F62" i="2"/>
  <c r="C62" i="2"/>
  <c r="F61" i="2"/>
  <c r="E61" i="2"/>
  <c r="C61" i="2"/>
  <c r="F60" i="2"/>
  <c r="E60" i="2"/>
  <c r="C60" i="2"/>
  <c r="F59" i="2"/>
  <c r="E59" i="2"/>
  <c r="C59" i="2"/>
  <c r="F58" i="2"/>
  <c r="E58" i="2"/>
  <c r="C58" i="2"/>
  <c r="F57" i="2"/>
  <c r="E57" i="2"/>
  <c r="C57" i="2"/>
  <c r="F56" i="2"/>
  <c r="E56" i="2"/>
  <c r="C56" i="2"/>
  <c r="F55" i="2"/>
  <c r="E55" i="2"/>
  <c r="C55" i="2"/>
  <c r="F54" i="2"/>
  <c r="E54" i="2"/>
  <c r="C54" i="2"/>
  <c r="F53" i="2"/>
  <c r="E53" i="2"/>
  <c r="C53" i="2"/>
  <c r="F52" i="2"/>
  <c r="E52" i="2"/>
  <c r="C52" i="2"/>
  <c r="F51" i="2"/>
  <c r="E51" i="2"/>
  <c r="C51" i="2"/>
  <c r="F46" i="2"/>
  <c r="C46" i="2"/>
  <c r="F45" i="2"/>
  <c r="E45" i="2"/>
  <c r="C45" i="2"/>
  <c r="F44" i="2"/>
  <c r="E44" i="2"/>
  <c r="C44" i="2"/>
  <c r="F43" i="2"/>
  <c r="E43" i="2"/>
  <c r="C43" i="2"/>
  <c r="F42" i="2"/>
  <c r="E42" i="2"/>
  <c r="C42" i="2"/>
  <c r="F41" i="2"/>
  <c r="E41" i="2"/>
  <c r="C41" i="2"/>
  <c r="F40" i="2"/>
  <c r="E40" i="2"/>
  <c r="C40" i="2"/>
  <c r="F39" i="2"/>
  <c r="E39" i="2"/>
  <c r="C39" i="2"/>
  <c r="F38" i="2"/>
  <c r="E38" i="2"/>
  <c r="C38" i="2"/>
  <c r="F37" i="2"/>
  <c r="E37" i="2"/>
  <c r="C37" i="2"/>
  <c r="F36" i="2"/>
  <c r="E36" i="2"/>
  <c r="C36" i="2"/>
  <c r="F35" i="2"/>
  <c r="E35" i="2"/>
  <c r="C35" i="2"/>
  <c r="F30" i="2"/>
  <c r="C30" i="2"/>
  <c r="F29" i="2"/>
  <c r="E29" i="2"/>
  <c r="C29" i="2"/>
  <c r="F28" i="2"/>
  <c r="E28" i="2"/>
  <c r="C28" i="2"/>
  <c r="F27" i="2"/>
  <c r="E27" i="2"/>
  <c r="C27" i="2"/>
  <c r="F26" i="2"/>
  <c r="E26" i="2"/>
  <c r="C26" i="2"/>
  <c r="F25" i="2"/>
  <c r="E25" i="2"/>
  <c r="C25" i="2"/>
  <c r="F24" i="2"/>
  <c r="E24" i="2"/>
  <c r="C24" i="2"/>
  <c r="F23" i="2"/>
  <c r="E23" i="2"/>
  <c r="C23" i="2"/>
  <c r="F22" i="2"/>
  <c r="E22" i="2"/>
  <c r="C22" i="2"/>
  <c r="F21" i="2"/>
  <c r="E21" i="2"/>
  <c r="C21" i="2"/>
  <c r="F20" i="2"/>
  <c r="E20" i="2"/>
  <c r="C20" i="2"/>
  <c r="F19" i="2"/>
  <c r="E19" i="2"/>
  <c r="C19" i="2"/>
  <c r="F14" i="2"/>
  <c r="C14" i="2"/>
  <c r="F13" i="2"/>
  <c r="E13" i="2"/>
  <c r="C13" i="2"/>
  <c r="F12" i="2"/>
  <c r="E12" i="2"/>
  <c r="C12" i="2"/>
  <c r="F11" i="2"/>
  <c r="E11" i="2"/>
  <c r="C11" i="2"/>
  <c r="S10" i="2"/>
  <c r="F10" i="2"/>
  <c r="E10" i="2"/>
  <c r="C10" i="2"/>
  <c r="S9" i="2"/>
  <c r="F9" i="2"/>
  <c r="E9" i="2"/>
  <c r="C9" i="2"/>
  <c r="F8" i="2"/>
  <c r="E8" i="2"/>
  <c r="C8" i="2"/>
  <c r="F7" i="2"/>
  <c r="E7" i="2"/>
  <c r="C7" i="2"/>
  <c r="F6" i="2"/>
  <c r="E6" i="2"/>
  <c r="C6" i="2"/>
  <c r="F5" i="2"/>
  <c r="E5" i="2"/>
  <c r="C5" i="2"/>
  <c r="F4" i="2"/>
  <c r="E4" i="2"/>
  <c r="C4" i="2"/>
  <c r="F3" i="2"/>
  <c r="E3" i="2"/>
  <c r="C3" i="2"/>
  <c r="AA93" i="1"/>
  <c r="Z93" i="1"/>
  <c r="X93" i="1"/>
  <c r="F93" i="1"/>
  <c r="E93" i="1"/>
  <c r="C93" i="1"/>
  <c r="AA92" i="1"/>
  <c r="Z92" i="1"/>
  <c r="X92" i="1"/>
  <c r="F92" i="1"/>
  <c r="E92" i="1"/>
  <c r="C92" i="1"/>
  <c r="AA91" i="1"/>
  <c r="Z91" i="1"/>
  <c r="X91" i="1"/>
  <c r="F91" i="1"/>
  <c r="E91" i="1"/>
  <c r="C91" i="1"/>
  <c r="AA90" i="1"/>
  <c r="Z90" i="1"/>
  <c r="X90" i="1"/>
  <c r="F90" i="1"/>
  <c r="E90" i="1"/>
  <c r="C90" i="1"/>
  <c r="AA89" i="1"/>
  <c r="Z89" i="1"/>
  <c r="X89" i="1"/>
  <c r="F89" i="1"/>
  <c r="E89" i="1"/>
  <c r="C89" i="1"/>
  <c r="AA88" i="1"/>
  <c r="Z88" i="1"/>
  <c r="X88" i="1"/>
  <c r="F88" i="1"/>
  <c r="E88" i="1"/>
  <c r="C88" i="1"/>
  <c r="AA87" i="1"/>
  <c r="Z87" i="1"/>
  <c r="X87" i="1"/>
  <c r="F87" i="1"/>
  <c r="E87" i="1"/>
  <c r="C87" i="1"/>
  <c r="AA86" i="1"/>
  <c r="Z86" i="1"/>
  <c r="X86" i="1"/>
  <c r="F86" i="1"/>
  <c r="E86" i="1"/>
  <c r="C86" i="1"/>
  <c r="AA85" i="1"/>
  <c r="Z85" i="1"/>
  <c r="X85" i="1"/>
  <c r="F85" i="1"/>
  <c r="E85" i="1"/>
  <c r="C85" i="1"/>
  <c r="AA84" i="1"/>
  <c r="Z84" i="1"/>
  <c r="X84" i="1"/>
  <c r="F84" i="1"/>
  <c r="E84" i="1"/>
  <c r="C84" i="1"/>
  <c r="F83" i="1"/>
  <c r="E83" i="1"/>
  <c r="C83" i="1"/>
  <c r="F82" i="1"/>
  <c r="E82" i="1"/>
  <c r="C82" i="1"/>
  <c r="AA78" i="1"/>
  <c r="Z78" i="1"/>
  <c r="X78" i="1"/>
  <c r="AA77" i="1"/>
  <c r="Z77" i="1"/>
  <c r="X77" i="1"/>
  <c r="F77" i="1"/>
  <c r="E77" i="1"/>
  <c r="C77" i="1"/>
  <c r="AA76" i="1"/>
  <c r="Z76" i="1"/>
  <c r="X76" i="1"/>
  <c r="F76" i="1"/>
  <c r="E76" i="1"/>
  <c r="C76" i="1"/>
  <c r="AA75" i="1"/>
  <c r="Z75" i="1"/>
  <c r="X75" i="1"/>
  <c r="F75" i="1"/>
  <c r="E75" i="1"/>
  <c r="C75" i="1"/>
  <c r="AA74" i="1"/>
  <c r="Z74" i="1"/>
  <c r="X74" i="1"/>
  <c r="F74" i="1"/>
  <c r="E74" i="1"/>
  <c r="C74" i="1"/>
  <c r="AA73" i="1"/>
  <c r="Z73" i="1"/>
  <c r="X73" i="1"/>
  <c r="F73" i="1"/>
  <c r="E73" i="1"/>
  <c r="C73" i="1"/>
  <c r="AA72" i="1"/>
  <c r="Z72" i="1"/>
  <c r="X72" i="1"/>
  <c r="F72" i="1"/>
  <c r="E72" i="1"/>
  <c r="C72" i="1"/>
  <c r="AA71" i="1"/>
  <c r="Z71" i="1"/>
  <c r="X71" i="1"/>
  <c r="F71" i="1"/>
  <c r="E71" i="1"/>
  <c r="C71" i="1"/>
  <c r="AA70" i="1"/>
  <c r="Z70" i="1"/>
  <c r="X70" i="1"/>
  <c r="F70" i="1"/>
  <c r="E70" i="1"/>
  <c r="C70" i="1"/>
  <c r="AA69" i="1"/>
  <c r="Z69" i="1"/>
  <c r="X69" i="1"/>
  <c r="F69" i="1"/>
  <c r="E69" i="1"/>
  <c r="C69" i="1"/>
  <c r="F68" i="1"/>
  <c r="E68" i="1"/>
  <c r="C68" i="1"/>
  <c r="F67" i="1"/>
  <c r="E67" i="1"/>
  <c r="C67" i="1"/>
  <c r="F66" i="1"/>
  <c r="E66" i="1"/>
  <c r="C66" i="1"/>
  <c r="AA62" i="1"/>
  <c r="Z62" i="1"/>
  <c r="X62" i="1"/>
  <c r="AA61" i="1"/>
  <c r="Z61" i="1"/>
  <c r="X61" i="1"/>
  <c r="F61" i="1"/>
  <c r="E61" i="1"/>
  <c r="C61" i="1"/>
  <c r="AA60" i="1"/>
  <c r="Z60" i="1"/>
  <c r="X60" i="1"/>
  <c r="F60" i="1"/>
  <c r="E60" i="1"/>
  <c r="C60" i="1"/>
  <c r="AA59" i="1"/>
  <c r="Z59" i="1"/>
  <c r="X59" i="1"/>
  <c r="F59" i="1"/>
  <c r="E59" i="1"/>
  <c r="C59" i="1"/>
  <c r="AA58" i="1"/>
  <c r="Z58" i="1"/>
  <c r="X58" i="1"/>
  <c r="F58" i="1"/>
  <c r="E58" i="1"/>
  <c r="C58" i="1"/>
  <c r="AA57" i="1"/>
  <c r="Z57" i="1"/>
  <c r="X57" i="1"/>
  <c r="F57" i="1"/>
  <c r="E57" i="1"/>
  <c r="C57" i="1"/>
  <c r="AA56" i="1"/>
  <c r="Z56" i="1"/>
  <c r="X56" i="1"/>
  <c r="F56" i="1"/>
  <c r="E56" i="1"/>
  <c r="C56" i="1"/>
  <c r="AA55" i="1"/>
  <c r="Z55" i="1"/>
  <c r="X55" i="1"/>
  <c r="F55" i="1"/>
  <c r="E55" i="1"/>
  <c r="C55" i="1"/>
  <c r="AA54" i="1"/>
  <c r="Z54" i="1"/>
  <c r="X54" i="1"/>
  <c r="F54" i="1"/>
  <c r="E54" i="1"/>
  <c r="C54" i="1"/>
  <c r="AA53" i="1"/>
  <c r="Z53" i="1"/>
  <c r="X53" i="1"/>
  <c r="F53" i="1"/>
  <c r="E53" i="1"/>
  <c r="C53" i="1"/>
  <c r="F52" i="1"/>
  <c r="E52" i="1"/>
  <c r="C52" i="1"/>
  <c r="F51" i="1"/>
  <c r="E51" i="1"/>
  <c r="C51" i="1"/>
  <c r="F50" i="1"/>
  <c r="E50" i="1"/>
  <c r="C50" i="1"/>
  <c r="AA46" i="1"/>
  <c r="Z46" i="1"/>
  <c r="X46" i="1"/>
  <c r="AA45" i="1"/>
  <c r="Z45" i="1"/>
  <c r="X45" i="1"/>
  <c r="F45" i="1"/>
  <c r="E45" i="1"/>
  <c r="C45" i="1"/>
  <c r="AA44" i="1"/>
  <c r="Z44" i="1"/>
  <c r="X44" i="1"/>
  <c r="F44" i="1"/>
  <c r="E44" i="1"/>
  <c r="C44" i="1"/>
  <c r="AA43" i="1"/>
  <c r="Z43" i="1"/>
  <c r="X43" i="1"/>
  <c r="F43" i="1"/>
  <c r="E43" i="1"/>
  <c r="C43" i="1"/>
  <c r="AA42" i="1"/>
  <c r="Z42" i="1"/>
  <c r="X42" i="1"/>
  <c r="F42" i="1"/>
  <c r="E42" i="1"/>
  <c r="C42" i="1"/>
  <c r="AA41" i="1"/>
  <c r="Z41" i="1"/>
  <c r="X41" i="1"/>
  <c r="F41" i="1"/>
  <c r="E41" i="1"/>
  <c r="C41" i="1"/>
  <c r="AA40" i="1"/>
  <c r="Z40" i="1"/>
  <c r="X40" i="1"/>
  <c r="F40" i="1"/>
  <c r="E40" i="1"/>
  <c r="C40" i="1"/>
  <c r="AA39" i="1"/>
  <c r="Z39" i="1"/>
  <c r="X39" i="1"/>
  <c r="F39" i="1"/>
  <c r="E39" i="1"/>
  <c r="C39" i="1"/>
  <c r="AA38" i="1"/>
  <c r="Z38" i="1"/>
  <c r="X38" i="1"/>
  <c r="F38" i="1"/>
  <c r="E38" i="1"/>
  <c r="C38" i="1"/>
  <c r="AA37" i="1"/>
  <c r="Z37" i="1"/>
  <c r="X37" i="1"/>
  <c r="F37" i="1"/>
  <c r="E37" i="1"/>
  <c r="C37" i="1"/>
  <c r="F36" i="1"/>
  <c r="E36" i="1"/>
  <c r="C36" i="1"/>
  <c r="F35" i="1"/>
  <c r="E35" i="1"/>
  <c r="C35" i="1"/>
  <c r="F34" i="1"/>
  <c r="E34" i="1"/>
  <c r="C34" i="1"/>
  <c r="AA31" i="1"/>
  <c r="Z31" i="1"/>
  <c r="X31" i="1"/>
  <c r="AA30" i="1"/>
  <c r="Z30" i="1"/>
  <c r="X30" i="1"/>
  <c r="F30" i="1"/>
  <c r="E30" i="1"/>
  <c r="C30" i="1"/>
  <c r="AA29" i="1"/>
  <c r="Z29" i="1"/>
  <c r="X29" i="1"/>
  <c r="F29" i="1"/>
  <c r="E29" i="1"/>
  <c r="C29" i="1"/>
  <c r="AA28" i="1"/>
  <c r="Z28" i="1"/>
  <c r="X28" i="1"/>
  <c r="F28" i="1"/>
  <c r="E28" i="1"/>
  <c r="C28" i="1"/>
  <c r="AA27" i="1"/>
  <c r="Z27" i="1"/>
  <c r="X27" i="1"/>
  <c r="F27" i="1"/>
  <c r="E27" i="1"/>
  <c r="C27" i="1"/>
  <c r="AA26" i="1"/>
  <c r="Z26" i="1"/>
  <c r="X26" i="1"/>
  <c r="F26" i="1"/>
  <c r="E26" i="1"/>
  <c r="C26" i="1"/>
  <c r="AA25" i="1"/>
  <c r="Z25" i="1"/>
  <c r="X25" i="1"/>
  <c r="F25" i="1"/>
  <c r="E25" i="1"/>
  <c r="C25" i="1"/>
  <c r="AA24" i="1"/>
  <c r="Z24" i="1"/>
  <c r="X24" i="1"/>
  <c r="F24" i="1"/>
  <c r="E24" i="1"/>
  <c r="C24" i="1"/>
  <c r="AA23" i="1"/>
  <c r="Z23" i="1"/>
  <c r="X23" i="1"/>
  <c r="F23" i="1"/>
  <c r="E23" i="1"/>
  <c r="C23" i="1"/>
  <c r="AA22" i="1"/>
  <c r="Z22" i="1"/>
  <c r="X22" i="1"/>
  <c r="F22" i="1"/>
  <c r="E22" i="1"/>
  <c r="C22" i="1"/>
  <c r="F21" i="1"/>
  <c r="E21" i="1"/>
  <c r="C21" i="1"/>
  <c r="F20" i="1"/>
  <c r="E20" i="1"/>
  <c r="C20" i="1"/>
  <c r="F19" i="1"/>
  <c r="E19" i="1"/>
  <c r="C19" i="1"/>
  <c r="AA15" i="1"/>
  <c r="Z15" i="1"/>
  <c r="X15" i="1"/>
  <c r="AA14" i="1"/>
  <c r="Z14" i="1"/>
  <c r="X14" i="1"/>
  <c r="F14" i="1"/>
  <c r="C14" i="1"/>
  <c r="AA13" i="1"/>
  <c r="Z13" i="1"/>
  <c r="X13" i="1"/>
  <c r="F13" i="1"/>
  <c r="C13" i="1"/>
  <c r="AA12" i="1"/>
  <c r="Z12" i="1"/>
  <c r="X12" i="1"/>
  <c r="S12" i="1"/>
  <c r="F12" i="1"/>
  <c r="E12" i="1"/>
  <c r="C12" i="1"/>
  <c r="AA11" i="1"/>
  <c r="Z11" i="1"/>
  <c r="X11" i="1"/>
  <c r="S11" i="1"/>
  <c r="F11" i="1"/>
  <c r="E11" i="1"/>
  <c r="C11" i="1"/>
  <c r="AM10" i="1"/>
  <c r="AA10" i="1"/>
  <c r="Z10" i="1"/>
  <c r="X10" i="1"/>
  <c r="F10" i="1"/>
  <c r="E10" i="1"/>
  <c r="C10" i="1"/>
  <c r="AM9" i="1"/>
  <c r="AA9" i="1"/>
  <c r="Z9" i="1"/>
  <c r="X9" i="1"/>
  <c r="F9" i="1"/>
  <c r="E9" i="1"/>
  <c r="C9" i="1"/>
  <c r="AA8" i="1"/>
  <c r="Z8" i="1"/>
  <c r="X8" i="1"/>
  <c r="F8" i="1"/>
  <c r="E8" i="1"/>
  <c r="C8" i="1"/>
  <c r="AA7" i="1"/>
  <c r="Z7" i="1"/>
  <c r="X7" i="1"/>
  <c r="F7" i="1"/>
  <c r="E7" i="1"/>
  <c r="C7" i="1"/>
  <c r="AA6" i="1"/>
  <c r="Z6" i="1"/>
  <c r="X6" i="1"/>
  <c r="F6" i="1"/>
  <c r="E6" i="1"/>
  <c r="C6" i="1"/>
  <c r="F5" i="1"/>
  <c r="E5" i="1"/>
  <c r="C5" i="1"/>
  <c r="F4" i="1"/>
  <c r="E4" i="1"/>
  <c r="C4" i="1"/>
  <c r="F3" i="1"/>
  <c r="E3" i="1"/>
  <c r="C3" i="1"/>
  <c r="B14" i="11" l="1"/>
</calcChain>
</file>

<file path=xl/sharedStrings.xml><?xml version="1.0" encoding="utf-8"?>
<sst xmlns="http://schemas.openxmlformats.org/spreadsheetml/2006/main" count="1049" uniqueCount="80">
  <si>
    <t>Pixels</t>
  </si>
  <si>
    <t>Number slices</t>
  </si>
  <si>
    <t>Distance (microns)</t>
  </si>
  <si>
    <t>L^(-1/0.88)</t>
  </si>
  <si>
    <t>Voxel size (microns)</t>
  </si>
  <si>
    <t>ROI 1 _ top</t>
  </si>
  <si>
    <t>ROI 1 - bottom</t>
  </si>
  <si>
    <t>ROI 2 _ top</t>
  </si>
  <si>
    <t>ROI 2 _ bottom</t>
  </si>
  <si>
    <t>ROI 3 _ top</t>
  </si>
  <si>
    <t>ROI 3 _ bottom</t>
  </si>
  <si>
    <t>ROI 1_bottom</t>
  </si>
  <si>
    <t>ROI 2_top</t>
  </si>
  <si>
    <t>ROI 1_ bottom</t>
  </si>
  <si>
    <t>region of interest</t>
  </si>
  <si>
    <t>Percolation diameter</t>
  </si>
  <si>
    <t>1_top</t>
  </si>
  <si>
    <t>1_bottom</t>
  </si>
  <si>
    <t>2_top</t>
  </si>
  <si>
    <t>2_bottom</t>
  </si>
  <si>
    <t>3_top</t>
  </si>
  <si>
    <t>3_bottom</t>
  </si>
  <si>
    <t>Average</t>
  </si>
  <si>
    <t>Standard deviation</t>
  </si>
  <si>
    <t>All other data suspect</t>
  </si>
  <si>
    <t>ROI 1 _ bottom</t>
  </si>
  <si>
    <t>ROI 3_ top</t>
  </si>
  <si>
    <t>ROI 1 _bottom</t>
  </si>
  <si>
    <t>ROI 2 _top</t>
  </si>
  <si>
    <t>ROI 2 _bottom</t>
  </si>
  <si>
    <t>ROI 3 _top</t>
  </si>
  <si>
    <t>ROI 3_top</t>
  </si>
  <si>
    <t>ROI 3_bottom</t>
  </si>
  <si>
    <t>1_100</t>
  </si>
  <si>
    <t>1_9010</t>
  </si>
  <si>
    <t>1_7525</t>
  </si>
  <si>
    <t>1_5050</t>
  </si>
  <si>
    <t>10_100</t>
  </si>
  <si>
    <t>10_9010</t>
  </si>
  <si>
    <t>10_7525</t>
  </si>
  <si>
    <t>10_5050</t>
  </si>
  <si>
    <t>30_100</t>
  </si>
  <si>
    <t>30_9010</t>
  </si>
  <si>
    <t>30_7525</t>
  </si>
  <si>
    <t>30_5050</t>
  </si>
  <si>
    <t>50_100</t>
  </si>
  <si>
    <t>50_9010</t>
  </si>
  <si>
    <t>50_7525</t>
  </si>
  <si>
    <t>50_5050</t>
  </si>
  <si>
    <t>100_100</t>
  </si>
  <si>
    <t>100_9010</t>
  </si>
  <si>
    <t>100_7525</t>
  </si>
  <si>
    <t>100_5050</t>
  </si>
  <si>
    <t>100% collagen</t>
  </si>
  <si>
    <t>1% cross-linking</t>
  </si>
  <si>
    <t>Percentage fibrinogen</t>
  </si>
  <si>
    <t>ROI 2_bottom</t>
  </si>
  <si>
    <t>ROI 2_ top</t>
  </si>
  <si>
    <t>ROI 2_ bottom</t>
  </si>
  <si>
    <t>ROI 2 _ bottom+D60:D64</t>
  </si>
  <si>
    <t>Repeat</t>
  </si>
  <si>
    <t>R1_top</t>
  </si>
  <si>
    <t>R1_bottom</t>
  </si>
  <si>
    <t>R1_100</t>
  </si>
  <si>
    <t>ROI 1</t>
  </si>
  <si>
    <t>ROI 2</t>
  </si>
  <si>
    <t>ROI 3</t>
  </si>
  <si>
    <t>90:10</t>
  </si>
  <si>
    <t>75:25</t>
  </si>
  <si>
    <t>50:50</t>
  </si>
  <si>
    <t>significant</t>
  </si>
  <si>
    <t>collapse</t>
  </si>
  <si>
    <t>ROI2_top</t>
  </si>
  <si>
    <t>ROI2_bottom</t>
  </si>
  <si>
    <t>ROI3_top</t>
  </si>
  <si>
    <t>10</t>
  </si>
  <si>
    <t>25</t>
  </si>
  <si>
    <t>50</t>
  </si>
  <si>
    <t>Percentage cross-linking concentration</t>
  </si>
  <si>
    <t>99.56262 (42.371)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</si>
</sst>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9" fontId="0" fillId="0" borderId="0" xfId="0" applyNumberFormat="1"/>
    <xf numFmtId="0" fontId="0" fillId="0" borderId="0" xfId="0" applyAlignment="1">
      <alignment horizontal="right"/>
    </xf>
    <xf numFmtId="0" fontId="0" fillId="0" borderId="0" xfId="0" applyNumberFormat="1"/>
    <xf numFmtId="49" fontId="0" fillId="0" borderId="0" xfId="0" applyNumberFormat="1"/>
    <xf numFmtId="49" fontId="0" fillId="0" borderId="0" xfId="0" applyNumberFormat="1" applyAlignment="1">
      <alignment horizontal="center"/>
    </xf>
    <xf numFmtId="2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00.xml.rels><?xml version="1.0" encoding="UTF-8" standalone="yes"?>
<Relationships xmlns="http://schemas.openxmlformats.org/package/2006/relationships"><Relationship Id="rId2" Type="http://schemas.microsoft.com/office/2011/relationships/chartColorStyle" Target="colors100.xml"/><Relationship Id="rId1" Type="http://schemas.microsoft.com/office/2011/relationships/chartStyle" Target="style100.xml"/></Relationships>
</file>

<file path=xl/charts/_rels/chart101.xml.rels><?xml version="1.0" encoding="UTF-8" standalone="yes"?>
<Relationships xmlns="http://schemas.openxmlformats.org/package/2006/relationships"><Relationship Id="rId2" Type="http://schemas.microsoft.com/office/2011/relationships/chartColorStyle" Target="colors101.xml"/><Relationship Id="rId1" Type="http://schemas.microsoft.com/office/2011/relationships/chartStyle" Target="style101.xml"/></Relationships>
</file>

<file path=xl/charts/_rels/chart102.xml.rels><?xml version="1.0" encoding="UTF-8" standalone="yes"?>
<Relationships xmlns="http://schemas.openxmlformats.org/package/2006/relationships"><Relationship Id="rId2" Type="http://schemas.microsoft.com/office/2011/relationships/chartColorStyle" Target="colors102.xml"/><Relationship Id="rId1" Type="http://schemas.microsoft.com/office/2011/relationships/chartStyle" Target="style102.xml"/></Relationships>
</file>

<file path=xl/charts/_rels/chart103.xml.rels><?xml version="1.0" encoding="UTF-8" standalone="yes"?>
<Relationships xmlns="http://schemas.openxmlformats.org/package/2006/relationships"><Relationship Id="rId2" Type="http://schemas.microsoft.com/office/2011/relationships/chartColorStyle" Target="colors103.xml"/><Relationship Id="rId1" Type="http://schemas.microsoft.com/office/2011/relationships/chartStyle" Target="style103.xml"/></Relationships>
</file>

<file path=xl/charts/_rels/chart104.xml.rels><?xml version="1.0" encoding="UTF-8" standalone="yes"?>
<Relationships xmlns="http://schemas.openxmlformats.org/package/2006/relationships"><Relationship Id="rId2" Type="http://schemas.microsoft.com/office/2011/relationships/chartColorStyle" Target="colors104.xml"/><Relationship Id="rId1" Type="http://schemas.microsoft.com/office/2011/relationships/chartStyle" Target="style104.xml"/></Relationships>
</file>

<file path=xl/charts/_rels/chart105.xml.rels><?xml version="1.0" encoding="UTF-8" standalone="yes"?>
<Relationships xmlns="http://schemas.openxmlformats.org/package/2006/relationships"><Relationship Id="rId2" Type="http://schemas.microsoft.com/office/2011/relationships/chartColorStyle" Target="colors105.xml"/><Relationship Id="rId1" Type="http://schemas.microsoft.com/office/2011/relationships/chartStyle" Target="style105.xml"/></Relationships>
</file>

<file path=xl/charts/_rels/chart106.xml.rels><?xml version="1.0" encoding="UTF-8" standalone="yes"?>
<Relationships xmlns="http://schemas.openxmlformats.org/package/2006/relationships"><Relationship Id="rId2" Type="http://schemas.microsoft.com/office/2011/relationships/chartColorStyle" Target="colors106.xml"/><Relationship Id="rId1" Type="http://schemas.microsoft.com/office/2011/relationships/chartStyle" Target="style106.xml"/></Relationships>
</file>

<file path=xl/charts/_rels/chart107.xml.rels><?xml version="1.0" encoding="UTF-8" standalone="yes"?>
<Relationships xmlns="http://schemas.openxmlformats.org/package/2006/relationships"><Relationship Id="rId2" Type="http://schemas.microsoft.com/office/2011/relationships/chartColorStyle" Target="colors107.xml"/><Relationship Id="rId1" Type="http://schemas.microsoft.com/office/2011/relationships/chartStyle" Target="style107.xml"/></Relationships>
</file>

<file path=xl/charts/_rels/chart108.xml.rels><?xml version="1.0" encoding="UTF-8" standalone="yes"?>
<Relationships xmlns="http://schemas.openxmlformats.org/package/2006/relationships"><Relationship Id="rId2" Type="http://schemas.microsoft.com/office/2011/relationships/chartColorStyle" Target="colors108.xml"/><Relationship Id="rId1" Type="http://schemas.microsoft.com/office/2011/relationships/chartStyle" Target="style108.xml"/></Relationships>
</file>

<file path=xl/charts/_rels/chart109.xml.rels><?xml version="1.0" encoding="UTF-8" standalone="yes"?>
<Relationships xmlns="http://schemas.openxmlformats.org/package/2006/relationships"><Relationship Id="rId2" Type="http://schemas.microsoft.com/office/2011/relationships/chartColorStyle" Target="colors109.xml"/><Relationship Id="rId1" Type="http://schemas.microsoft.com/office/2011/relationships/chartStyle" Target="style10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0.xml.rels><?xml version="1.0" encoding="UTF-8" standalone="yes"?>
<Relationships xmlns="http://schemas.openxmlformats.org/package/2006/relationships"><Relationship Id="rId2" Type="http://schemas.microsoft.com/office/2011/relationships/chartColorStyle" Target="colors110.xml"/><Relationship Id="rId1" Type="http://schemas.microsoft.com/office/2011/relationships/chartStyle" Target="style110.xml"/></Relationships>
</file>

<file path=xl/charts/_rels/chart111.xml.rels><?xml version="1.0" encoding="UTF-8" standalone="yes"?>
<Relationships xmlns="http://schemas.openxmlformats.org/package/2006/relationships"><Relationship Id="rId2" Type="http://schemas.microsoft.com/office/2011/relationships/chartColorStyle" Target="colors111.xml"/><Relationship Id="rId1" Type="http://schemas.microsoft.com/office/2011/relationships/chartStyle" Target="style111.xml"/></Relationships>
</file>

<file path=xl/charts/_rels/chart112.xml.rels><?xml version="1.0" encoding="UTF-8" standalone="yes"?>
<Relationships xmlns="http://schemas.openxmlformats.org/package/2006/relationships"><Relationship Id="rId2" Type="http://schemas.microsoft.com/office/2011/relationships/chartColorStyle" Target="colors112.xml"/><Relationship Id="rId1" Type="http://schemas.microsoft.com/office/2011/relationships/chartStyle" Target="style112.xml"/></Relationships>
</file>

<file path=xl/charts/_rels/chart113.xml.rels><?xml version="1.0" encoding="UTF-8" standalone="yes"?>
<Relationships xmlns="http://schemas.openxmlformats.org/package/2006/relationships"><Relationship Id="rId2" Type="http://schemas.microsoft.com/office/2011/relationships/chartColorStyle" Target="colors113.xml"/><Relationship Id="rId1" Type="http://schemas.microsoft.com/office/2011/relationships/chartStyle" Target="style113.xml"/></Relationships>
</file>

<file path=xl/charts/_rels/chart114.xml.rels><?xml version="1.0" encoding="UTF-8" standalone="yes"?>
<Relationships xmlns="http://schemas.openxmlformats.org/package/2006/relationships"><Relationship Id="rId2" Type="http://schemas.microsoft.com/office/2011/relationships/chartColorStyle" Target="colors114.xml"/><Relationship Id="rId1" Type="http://schemas.microsoft.com/office/2011/relationships/chartStyle" Target="style114.xml"/></Relationships>
</file>

<file path=xl/charts/_rels/chart115.xml.rels><?xml version="1.0" encoding="UTF-8" standalone="yes"?>
<Relationships xmlns="http://schemas.openxmlformats.org/package/2006/relationships"><Relationship Id="rId2" Type="http://schemas.microsoft.com/office/2011/relationships/chartColorStyle" Target="colors115.xml"/><Relationship Id="rId1" Type="http://schemas.microsoft.com/office/2011/relationships/chartStyle" Target="style115.xml"/></Relationships>
</file>

<file path=xl/charts/_rels/chart116.xml.rels><?xml version="1.0" encoding="UTF-8" standalone="yes"?>
<Relationships xmlns="http://schemas.openxmlformats.org/package/2006/relationships"><Relationship Id="rId2" Type="http://schemas.microsoft.com/office/2011/relationships/chartColorStyle" Target="colors116.xml"/><Relationship Id="rId1" Type="http://schemas.microsoft.com/office/2011/relationships/chartStyle" Target="style116.xml"/></Relationships>
</file>

<file path=xl/charts/_rels/chart117.xml.rels><?xml version="1.0" encoding="UTF-8" standalone="yes"?>
<Relationships xmlns="http://schemas.openxmlformats.org/package/2006/relationships"><Relationship Id="rId2" Type="http://schemas.microsoft.com/office/2011/relationships/chartColorStyle" Target="colors117.xml"/><Relationship Id="rId1" Type="http://schemas.microsoft.com/office/2011/relationships/chartStyle" Target="style117.xml"/></Relationships>
</file>

<file path=xl/charts/_rels/chart118.xml.rels><?xml version="1.0" encoding="UTF-8" standalone="yes"?>
<Relationships xmlns="http://schemas.openxmlformats.org/package/2006/relationships"><Relationship Id="rId2" Type="http://schemas.microsoft.com/office/2011/relationships/chartColorStyle" Target="colors118.xml"/><Relationship Id="rId1" Type="http://schemas.microsoft.com/office/2011/relationships/chartStyle" Target="style118.xml"/></Relationships>
</file>

<file path=xl/charts/_rels/chart119.xml.rels><?xml version="1.0" encoding="UTF-8" standalone="yes"?>
<Relationships xmlns="http://schemas.openxmlformats.org/package/2006/relationships"><Relationship Id="rId2" Type="http://schemas.microsoft.com/office/2011/relationships/chartColorStyle" Target="colors119.xml"/><Relationship Id="rId1" Type="http://schemas.microsoft.com/office/2011/relationships/chartStyle" Target="style11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0.xml.rels><?xml version="1.0" encoding="UTF-8" standalone="yes"?>
<Relationships xmlns="http://schemas.openxmlformats.org/package/2006/relationships"><Relationship Id="rId2" Type="http://schemas.microsoft.com/office/2011/relationships/chartColorStyle" Target="colors120.xml"/><Relationship Id="rId1" Type="http://schemas.microsoft.com/office/2011/relationships/chartStyle" Target="style120.xml"/></Relationships>
</file>

<file path=xl/charts/_rels/chart121.xml.rels><?xml version="1.0" encoding="UTF-8" standalone="yes"?>
<Relationships xmlns="http://schemas.openxmlformats.org/package/2006/relationships"><Relationship Id="rId2" Type="http://schemas.microsoft.com/office/2011/relationships/chartColorStyle" Target="colors121.xml"/><Relationship Id="rId1" Type="http://schemas.microsoft.com/office/2011/relationships/chartStyle" Target="style121.xml"/></Relationships>
</file>

<file path=xl/charts/_rels/chart122.xml.rels><?xml version="1.0" encoding="UTF-8" standalone="yes"?>
<Relationships xmlns="http://schemas.openxmlformats.org/package/2006/relationships"><Relationship Id="rId2" Type="http://schemas.microsoft.com/office/2011/relationships/chartColorStyle" Target="colors122.xml"/><Relationship Id="rId1" Type="http://schemas.microsoft.com/office/2011/relationships/chartStyle" Target="style122.xml"/></Relationships>
</file>

<file path=xl/charts/_rels/chart123.xml.rels><?xml version="1.0" encoding="UTF-8" standalone="yes"?>
<Relationships xmlns="http://schemas.openxmlformats.org/package/2006/relationships"><Relationship Id="rId2" Type="http://schemas.microsoft.com/office/2011/relationships/chartColorStyle" Target="colors123.xml"/><Relationship Id="rId1" Type="http://schemas.microsoft.com/office/2011/relationships/chartStyle" Target="style123.xml"/></Relationships>
</file>

<file path=xl/charts/_rels/chart124.xml.rels><?xml version="1.0" encoding="UTF-8" standalone="yes"?>
<Relationships xmlns="http://schemas.openxmlformats.org/package/2006/relationships"><Relationship Id="rId2" Type="http://schemas.microsoft.com/office/2011/relationships/chartColorStyle" Target="colors124.xml"/><Relationship Id="rId1" Type="http://schemas.microsoft.com/office/2011/relationships/chartStyle" Target="style124.xml"/></Relationships>
</file>

<file path=xl/charts/_rels/chart125.xml.rels><?xml version="1.0" encoding="UTF-8" standalone="yes"?>
<Relationships xmlns="http://schemas.openxmlformats.org/package/2006/relationships"><Relationship Id="rId2" Type="http://schemas.microsoft.com/office/2011/relationships/chartColorStyle" Target="colors125.xml"/><Relationship Id="rId1" Type="http://schemas.microsoft.com/office/2011/relationships/chartStyle" Target="style125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82.xml.rels><?xml version="1.0" encoding="UTF-8" standalone="yes"?>
<Relationships xmlns="http://schemas.openxmlformats.org/package/2006/relationships"><Relationship Id="rId2" Type="http://schemas.microsoft.com/office/2011/relationships/chartColorStyle" Target="colors82.xml"/><Relationship Id="rId1" Type="http://schemas.microsoft.com/office/2011/relationships/chartStyle" Target="style82.xml"/></Relationships>
</file>

<file path=xl/charts/_rels/chart83.xml.rels><?xml version="1.0" encoding="UTF-8" standalone="yes"?>
<Relationships xmlns="http://schemas.openxmlformats.org/package/2006/relationships"><Relationship Id="rId2" Type="http://schemas.microsoft.com/office/2011/relationships/chartColorStyle" Target="colors83.xml"/><Relationship Id="rId1" Type="http://schemas.microsoft.com/office/2011/relationships/chartStyle" Target="style83.xml"/></Relationships>
</file>

<file path=xl/charts/_rels/chart84.xml.rels><?xml version="1.0" encoding="UTF-8" standalone="yes"?>
<Relationships xmlns="http://schemas.openxmlformats.org/package/2006/relationships"><Relationship Id="rId2" Type="http://schemas.microsoft.com/office/2011/relationships/chartColorStyle" Target="colors84.xml"/><Relationship Id="rId1" Type="http://schemas.microsoft.com/office/2011/relationships/chartStyle" Target="style84.xml"/></Relationships>
</file>

<file path=xl/charts/_rels/chart85.xml.rels><?xml version="1.0" encoding="UTF-8" standalone="yes"?>
<Relationships xmlns="http://schemas.openxmlformats.org/package/2006/relationships"><Relationship Id="rId2" Type="http://schemas.microsoft.com/office/2011/relationships/chartColorStyle" Target="colors85.xml"/><Relationship Id="rId1" Type="http://schemas.microsoft.com/office/2011/relationships/chartStyle" Target="style85.xml"/></Relationships>
</file>

<file path=xl/charts/_rels/chart86.xml.rels><?xml version="1.0" encoding="UTF-8" standalone="yes"?>
<Relationships xmlns="http://schemas.openxmlformats.org/package/2006/relationships"><Relationship Id="rId2" Type="http://schemas.microsoft.com/office/2011/relationships/chartColorStyle" Target="colors86.xml"/><Relationship Id="rId1" Type="http://schemas.microsoft.com/office/2011/relationships/chartStyle" Target="style86.xml"/></Relationships>
</file>

<file path=xl/charts/_rels/chart87.xml.rels><?xml version="1.0" encoding="UTF-8" standalone="yes"?>
<Relationships xmlns="http://schemas.openxmlformats.org/package/2006/relationships"><Relationship Id="rId2" Type="http://schemas.microsoft.com/office/2011/relationships/chartColorStyle" Target="colors87.xml"/><Relationship Id="rId1" Type="http://schemas.microsoft.com/office/2011/relationships/chartStyle" Target="style87.xml"/></Relationships>
</file>

<file path=xl/charts/_rels/chart88.xml.rels><?xml version="1.0" encoding="UTF-8" standalone="yes"?>
<Relationships xmlns="http://schemas.openxmlformats.org/package/2006/relationships"><Relationship Id="rId2" Type="http://schemas.microsoft.com/office/2011/relationships/chartColorStyle" Target="colors88.xml"/><Relationship Id="rId1" Type="http://schemas.microsoft.com/office/2011/relationships/chartStyle" Target="style88.xml"/></Relationships>
</file>

<file path=xl/charts/_rels/chart89.xml.rels><?xml version="1.0" encoding="UTF-8" standalone="yes"?>
<Relationships xmlns="http://schemas.openxmlformats.org/package/2006/relationships"><Relationship Id="rId2" Type="http://schemas.microsoft.com/office/2011/relationships/chartColorStyle" Target="colors89.xml"/><Relationship Id="rId1" Type="http://schemas.microsoft.com/office/2011/relationships/chartStyle" Target="style8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0.xml.rels><?xml version="1.0" encoding="UTF-8" standalone="yes"?>
<Relationships xmlns="http://schemas.openxmlformats.org/package/2006/relationships"><Relationship Id="rId2" Type="http://schemas.microsoft.com/office/2011/relationships/chartColorStyle" Target="colors90.xml"/><Relationship Id="rId1" Type="http://schemas.microsoft.com/office/2011/relationships/chartStyle" Target="style90.xml"/></Relationships>
</file>

<file path=xl/charts/_rels/chart91.xml.rels><?xml version="1.0" encoding="UTF-8" standalone="yes"?>
<Relationships xmlns="http://schemas.openxmlformats.org/package/2006/relationships"><Relationship Id="rId2" Type="http://schemas.microsoft.com/office/2011/relationships/chartColorStyle" Target="colors91.xml"/><Relationship Id="rId1" Type="http://schemas.microsoft.com/office/2011/relationships/chartStyle" Target="style91.xml"/></Relationships>
</file>

<file path=xl/charts/_rels/chart92.xml.rels><?xml version="1.0" encoding="UTF-8" standalone="yes"?>
<Relationships xmlns="http://schemas.openxmlformats.org/package/2006/relationships"><Relationship Id="rId2" Type="http://schemas.microsoft.com/office/2011/relationships/chartColorStyle" Target="colors92.xml"/><Relationship Id="rId1" Type="http://schemas.microsoft.com/office/2011/relationships/chartStyle" Target="style92.xml"/></Relationships>
</file>

<file path=xl/charts/_rels/chart93.xml.rels><?xml version="1.0" encoding="UTF-8" standalone="yes"?>
<Relationships xmlns="http://schemas.openxmlformats.org/package/2006/relationships"><Relationship Id="rId2" Type="http://schemas.microsoft.com/office/2011/relationships/chartColorStyle" Target="colors93.xml"/><Relationship Id="rId1" Type="http://schemas.microsoft.com/office/2011/relationships/chartStyle" Target="style93.xml"/></Relationships>
</file>

<file path=xl/charts/_rels/chart94.xml.rels><?xml version="1.0" encoding="UTF-8" standalone="yes"?>
<Relationships xmlns="http://schemas.openxmlformats.org/package/2006/relationships"><Relationship Id="rId2" Type="http://schemas.microsoft.com/office/2011/relationships/chartColorStyle" Target="colors94.xml"/><Relationship Id="rId1" Type="http://schemas.microsoft.com/office/2011/relationships/chartStyle" Target="style94.xml"/></Relationships>
</file>

<file path=xl/charts/_rels/chart95.xml.rels><?xml version="1.0" encoding="UTF-8" standalone="yes"?>
<Relationships xmlns="http://schemas.openxmlformats.org/package/2006/relationships"><Relationship Id="rId2" Type="http://schemas.microsoft.com/office/2011/relationships/chartColorStyle" Target="colors95.xml"/><Relationship Id="rId1" Type="http://schemas.microsoft.com/office/2011/relationships/chartStyle" Target="style95.xml"/></Relationships>
</file>

<file path=xl/charts/_rels/chart96.xml.rels><?xml version="1.0" encoding="UTF-8" standalone="yes"?>
<Relationships xmlns="http://schemas.openxmlformats.org/package/2006/relationships"><Relationship Id="rId2" Type="http://schemas.microsoft.com/office/2011/relationships/chartColorStyle" Target="colors96.xml"/><Relationship Id="rId1" Type="http://schemas.microsoft.com/office/2011/relationships/chartStyle" Target="style96.xml"/></Relationships>
</file>

<file path=xl/charts/_rels/chart97.xml.rels><?xml version="1.0" encoding="UTF-8" standalone="yes"?>
<Relationships xmlns="http://schemas.openxmlformats.org/package/2006/relationships"><Relationship Id="rId2" Type="http://schemas.microsoft.com/office/2011/relationships/chartColorStyle" Target="colors97.xml"/><Relationship Id="rId1" Type="http://schemas.microsoft.com/office/2011/relationships/chartStyle" Target="style97.xml"/></Relationships>
</file>

<file path=xl/charts/_rels/chart98.xml.rels><?xml version="1.0" encoding="UTF-8" standalone="yes"?>
<Relationships xmlns="http://schemas.openxmlformats.org/package/2006/relationships"><Relationship Id="rId2" Type="http://schemas.microsoft.com/office/2011/relationships/chartColorStyle" Target="colors98.xml"/><Relationship Id="rId1" Type="http://schemas.microsoft.com/office/2011/relationships/chartStyle" Target="style98.xml"/></Relationships>
</file>

<file path=xl/charts/_rels/chart99.xml.rels><?xml version="1.0" encoding="UTF-8" standalone="yes"?>
<Relationships xmlns="http://schemas.openxmlformats.org/package/2006/relationships"><Relationship Id="rId2" Type="http://schemas.microsoft.com/office/2011/relationships/chartColorStyle" Target="colors99.xml"/><Relationship Id="rId1" Type="http://schemas.microsoft.com/office/2011/relationships/chartStyle" Target="style9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8568416447944006"/>
                  <c:y val="6.274715660542427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'1_100percent'!$F$3:$F$12</c:f>
              <c:numCache>
                <c:formatCode>General</c:formatCode>
                <c:ptCount val="10"/>
                <c:pt idx="0">
                  <c:v>3.3166315450883603E-3</c:v>
                </c:pt>
                <c:pt idx="1">
                  <c:v>3.4708873458777541E-3</c:v>
                </c:pt>
                <c:pt idx="2">
                  <c:v>4.026277718217495E-3</c:v>
                </c:pt>
                <c:pt idx="3">
                  <c:v>6.5557158127675817E-3</c:v>
                </c:pt>
                <c:pt idx="4">
                  <c:v>1.1557940943796448E-2</c:v>
                </c:pt>
                <c:pt idx="5">
                  <c:v>1.2382254315690646E-2</c:v>
                </c:pt>
                <c:pt idx="6">
                  <c:v>1.3324488363727047E-2</c:v>
                </c:pt>
                <c:pt idx="7">
                  <c:v>1.3324488363727047E-2</c:v>
                </c:pt>
                <c:pt idx="8">
                  <c:v>1.5677368375515564E-2</c:v>
                </c:pt>
                <c:pt idx="9">
                  <c:v>2.7219444648087589E-2</c:v>
                </c:pt>
              </c:numCache>
            </c:numRef>
          </c:xVal>
          <c:yVal>
            <c:numRef>
              <c:f>'1_100percent'!$G$3:$G$12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513880"/>
        <c:axId val="419515448"/>
      </c:scatterChart>
      <c:valAx>
        <c:axId val="419513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5448"/>
        <c:crosses val="autoZero"/>
        <c:crossBetween val="midCat"/>
      </c:valAx>
      <c:valAx>
        <c:axId val="41951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3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'1_100percent'!$AA$53:$AA$62</c:f>
              <c:numCache>
                <c:formatCode>General</c:formatCode>
                <c:ptCount val="10"/>
                <c:pt idx="0">
                  <c:v>1.9884543439480438E-3</c:v>
                </c:pt>
                <c:pt idx="1">
                  <c:v>2.0170815632259611E-3</c:v>
                </c:pt>
                <c:pt idx="2">
                  <c:v>2.0464935427936043E-3</c:v>
                </c:pt>
                <c:pt idx="3">
                  <c:v>2.0767222755836167E-3</c:v>
                </c:pt>
                <c:pt idx="4">
                  <c:v>2.0767222755836167E-3</c:v>
                </c:pt>
                <c:pt idx="5">
                  <c:v>2.1078014973171261E-3</c:v>
                </c:pt>
                <c:pt idx="6">
                  <c:v>2.1078014973171261E-3</c:v>
                </c:pt>
                <c:pt idx="7">
                  <c:v>2.1397668059655252E-3</c:v>
                </c:pt>
                <c:pt idx="8">
                  <c:v>2.172655791127472E-3</c:v>
                </c:pt>
                <c:pt idx="9">
                  <c:v>1.7170208017345791E-2</c:v>
                </c:pt>
              </c:numCache>
            </c:numRef>
          </c:xVal>
          <c:yVal>
            <c:numRef>
              <c:f>'1_100percent'!$AB$53:$AB$62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975168"/>
        <c:axId val="421980656"/>
      </c:scatterChart>
      <c:valAx>
        <c:axId val="421975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80656"/>
        <c:crosses val="autoZero"/>
        <c:crossBetween val="midCat"/>
      </c:valAx>
      <c:valAx>
        <c:axId val="421980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5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3409689413823278"/>
                  <c:y val="-4.3393482064741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'100_9010'!$F$53:$F$59</c:f>
              <c:numCache>
                <c:formatCode>General</c:formatCode>
                <c:ptCount val="7"/>
                <c:pt idx="0">
                  <c:v>3.2864443511493075E-4</c:v>
                </c:pt>
                <c:pt idx="1">
                  <c:v>3.2960465361095122E-4</c:v>
                </c:pt>
                <c:pt idx="2">
                  <c:v>3.2960465361095122E-4</c:v>
                </c:pt>
                <c:pt idx="3">
                  <c:v>3.554474478636509E-4</c:v>
                </c:pt>
                <c:pt idx="4">
                  <c:v>8.67496600719948E-4</c:v>
                </c:pt>
                <c:pt idx="5">
                  <c:v>8.7347355971939967E-4</c:v>
                </c:pt>
                <c:pt idx="6">
                  <c:v>9.8081710528519217E-4</c:v>
                </c:pt>
              </c:numCache>
            </c:numRef>
          </c:xVal>
          <c:yVal>
            <c:numRef>
              <c:f>'100_9010'!$G$53:$G$59</c:f>
              <c:numCache>
                <c:formatCode>General</c:formatCode>
                <c:ptCount val="7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  <c:pt idx="6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46088"/>
        <c:axId val="436248440"/>
      </c:scatterChart>
      <c:valAx>
        <c:axId val="436246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8440"/>
        <c:crosses val="autoZero"/>
        <c:crossBetween val="midCat"/>
      </c:valAx>
      <c:valAx>
        <c:axId val="4362484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6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1537204724409443"/>
                  <c:y val="-8.8584499854184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'100_9010'!$F$71:$F$75</c:f>
              <c:numCache>
                <c:formatCode>General</c:formatCode>
                <c:ptCount val="5"/>
                <c:pt idx="0">
                  <c:v>6.9799069762664298E-4</c:v>
                </c:pt>
                <c:pt idx="1">
                  <c:v>8.3873024032833881E-4</c:v>
                </c:pt>
                <c:pt idx="2">
                  <c:v>8.7952841049836791E-4</c:v>
                </c:pt>
                <c:pt idx="3">
                  <c:v>8.918778232099451E-4</c:v>
                </c:pt>
                <c:pt idx="4">
                  <c:v>9.7339005664098842E-4</c:v>
                </c:pt>
              </c:numCache>
            </c:numRef>
          </c:xVal>
          <c:yVal>
            <c:numRef>
              <c:f>'100_9010'!$G$71:$G$75</c:f>
              <c:numCache>
                <c:formatCode>General</c:formatCode>
                <c:ptCount val="5"/>
                <c:pt idx="0">
                  <c:v>135.66</c:v>
                </c:pt>
                <c:pt idx="1">
                  <c:v>143.64000000000001</c:v>
                </c:pt>
                <c:pt idx="2">
                  <c:v>151.62</c:v>
                </c:pt>
                <c:pt idx="3">
                  <c:v>159.60000000000002</c:v>
                </c:pt>
                <c:pt idx="4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46872"/>
        <c:axId val="436990272"/>
      </c:scatterChart>
      <c:valAx>
        <c:axId val="436246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0272"/>
        <c:crosses val="autoZero"/>
        <c:crossBetween val="midCat"/>
      </c:valAx>
      <c:valAx>
        <c:axId val="436990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6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1088538932633422"/>
                  <c:y val="8.201334208223971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'100_9010'!$F$87:$F$90</c:f>
              <c:numCache>
                <c:formatCode>General</c:formatCode>
                <c:ptCount val="4"/>
                <c:pt idx="0">
                  <c:v>1.5789230960959535E-3</c:v>
                </c:pt>
                <c:pt idx="1">
                  <c:v>1.9884543439480438E-3</c:v>
                </c:pt>
                <c:pt idx="2">
                  <c:v>2.2772736065616657E-3</c:v>
                </c:pt>
                <c:pt idx="3">
                  <c:v>2.5176135502615734E-3</c:v>
                </c:pt>
              </c:numCache>
            </c:numRef>
          </c:xVal>
          <c:yVal>
            <c:numRef>
              <c:f>'100_9010'!$G$87:$G$90</c:f>
              <c:numCache>
                <c:formatCode>General</c:formatCode>
                <c:ptCount val="4"/>
                <c:pt idx="0">
                  <c:v>135.66</c:v>
                </c:pt>
                <c:pt idx="1">
                  <c:v>143.64000000000001</c:v>
                </c:pt>
                <c:pt idx="2">
                  <c:v>151.62</c:v>
                </c:pt>
                <c:pt idx="3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9488"/>
        <c:axId val="436992624"/>
      </c:scatterChart>
      <c:valAx>
        <c:axId val="43698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2624"/>
        <c:crosses val="autoZero"/>
        <c:crossBetween val="midCat"/>
      </c:valAx>
      <c:valAx>
        <c:axId val="436992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9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5749912510936134"/>
                  <c:y val="-5.329323417906094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'100_7525'!$F$7:$F$12</c:f>
              <c:numCache>
                <c:formatCode>General</c:formatCode>
                <c:ptCount val="6"/>
                <c:pt idx="0">
                  <c:v>7.8627423847093473E-4</c:v>
                </c:pt>
                <c:pt idx="1">
                  <c:v>1.3846929044966517E-3</c:v>
                </c:pt>
                <c:pt idx="2">
                  <c:v>1.4288938023730643E-3</c:v>
                </c:pt>
                <c:pt idx="3">
                  <c:v>1.4442219586439349E-3</c:v>
                </c:pt>
                <c:pt idx="4">
                  <c:v>1.4758239082886936E-3</c:v>
                </c:pt>
                <c:pt idx="5">
                  <c:v>4.4987298993004231E-3</c:v>
                </c:pt>
              </c:numCache>
            </c:numRef>
          </c:xVal>
          <c:yVal>
            <c:numRef>
              <c:f>'100_7525'!$G$7:$G$12</c:f>
              <c:numCache>
                <c:formatCode>General</c:formatCode>
                <c:ptCount val="6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5568"/>
        <c:axId val="436996152"/>
      </c:scatterChart>
      <c:valAx>
        <c:axId val="4369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6152"/>
        <c:crosses val="autoZero"/>
        <c:crossBetween val="midCat"/>
      </c:valAx>
      <c:valAx>
        <c:axId val="436996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5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0474584426946632"/>
                  <c:y val="-4.989720034995625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'100_7525'!$F$24:$F$29</c:f>
              <c:numCache>
                <c:formatCode>General</c:formatCode>
                <c:ptCount val="6"/>
                <c:pt idx="0">
                  <c:v>6.6052280860589186E-4</c:v>
                </c:pt>
                <c:pt idx="1">
                  <c:v>9.2422426741514902E-4</c:v>
                </c:pt>
                <c:pt idx="2">
                  <c:v>1.0442955696210426E-3</c:v>
                </c:pt>
                <c:pt idx="3">
                  <c:v>1.3296153039165969E-3</c:v>
                </c:pt>
                <c:pt idx="4">
                  <c:v>1.7393531072461769E-3</c:v>
                </c:pt>
                <c:pt idx="5">
                  <c:v>2.7573472364655128E-3</c:v>
                </c:pt>
              </c:numCache>
            </c:numRef>
          </c:xVal>
          <c:yVal>
            <c:numRef>
              <c:f>'100_7525'!$G$24:$G$29</c:f>
              <c:numCache>
                <c:formatCode>General</c:formatCode>
                <c:ptCount val="6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96544"/>
        <c:axId val="436987920"/>
      </c:scatterChart>
      <c:valAx>
        <c:axId val="43699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7920"/>
        <c:crosses val="autoZero"/>
        <c:crossBetween val="midCat"/>
      </c:valAx>
      <c:valAx>
        <c:axId val="436987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65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2416579177602799"/>
                  <c:y val="-2.545858850976961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'100_7525'!$F$39:$F$44</c:f>
              <c:numCache>
                <c:formatCode>General</c:formatCode>
                <c:ptCount val="6"/>
                <c:pt idx="0">
                  <c:v>7.8627423847093473E-4</c:v>
                </c:pt>
                <c:pt idx="1">
                  <c:v>1.3846929044966517E-3</c:v>
                </c:pt>
                <c:pt idx="2">
                  <c:v>1.4138686623479033E-3</c:v>
                </c:pt>
                <c:pt idx="3">
                  <c:v>1.4442219586439349E-3</c:v>
                </c:pt>
                <c:pt idx="4">
                  <c:v>1.4758239082886936E-3</c:v>
                </c:pt>
                <c:pt idx="5">
                  <c:v>4.4987298993004231E-3</c:v>
                </c:pt>
              </c:numCache>
            </c:numRef>
          </c:xVal>
          <c:yVal>
            <c:numRef>
              <c:f>'100_7525'!$G$39:$G$44</c:f>
              <c:numCache>
                <c:formatCode>General</c:formatCode>
                <c:ptCount val="6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5960"/>
        <c:axId val="436991840"/>
      </c:scatterChart>
      <c:valAx>
        <c:axId val="436985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1840"/>
        <c:crosses val="autoZero"/>
        <c:crossBetween val="midCat"/>
      </c:valAx>
      <c:valAx>
        <c:axId val="43699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5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3130139982502182"/>
                  <c:y val="-7.5944152814231558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'100_7525'!$F$54:$F$59</c:f>
              <c:numCache>
                <c:formatCode>General</c:formatCode>
                <c:ptCount val="6"/>
                <c:pt idx="0">
                  <c:v>7.962649864622504E-4</c:v>
                </c:pt>
                <c:pt idx="1">
                  <c:v>1.0442955696210426E-3</c:v>
                </c:pt>
                <c:pt idx="2">
                  <c:v>1.0442955696210426E-3</c:v>
                </c:pt>
                <c:pt idx="3">
                  <c:v>1.3429943820572601E-3</c:v>
                </c:pt>
                <c:pt idx="4">
                  <c:v>2.4323881482810543E-3</c:v>
                </c:pt>
                <c:pt idx="5">
                  <c:v>2.7573472364655128E-3</c:v>
                </c:pt>
              </c:numCache>
            </c:numRef>
          </c:xVal>
          <c:yVal>
            <c:numRef>
              <c:f>'100_7525'!$G$54:$G$59</c:f>
              <c:numCache>
                <c:formatCode>General</c:formatCode>
                <c:ptCount val="6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6352"/>
        <c:axId val="436995368"/>
      </c:scatterChart>
      <c:valAx>
        <c:axId val="43698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5368"/>
        <c:crosses val="autoZero"/>
        <c:crossBetween val="midCat"/>
      </c:valAx>
      <c:valAx>
        <c:axId val="436995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6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'100_7525'!$F$70:$F$74</c:f>
              <c:numCache>
                <c:formatCode>General</c:formatCode>
                <c:ptCount val="5"/>
                <c:pt idx="0">
                  <c:v>9.7339005664098842E-4</c:v>
                </c:pt>
                <c:pt idx="1">
                  <c:v>1.0790121329768575E-3</c:v>
                </c:pt>
                <c:pt idx="2">
                  <c:v>2.1397668059655252E-3</c:v>
                </c:pt>
                <c:pt idx="3">
                  <c:v>2.3524296372682851E-3</c:v>
                </c:pt>
                <c:pt idx="4">
                  <c:v>3.3921117365587512E-3</c:v>
                </c:pt>
              </c:numCache>
            </c:numRef>
          </c:xVal>
          <c:yVal>
            <c:numRef>
              <c:f>'100_7525'!$G$70:$G$74</c:f>
              <c:numCache>
                <c:formatCode>General</c:formatCode>
                <c:ptCount val="5"/>
                <c:pt idx="0">
                  <c:v>135.66</c:v>
                </c:pt>
                <c:pt idx="1">
                  <c:v>143.64000000000001</c:v>
                </c:pt>
                <c:pt idx="2">
                  <c:v>151.62</c:v>
                </c:pt>
                <c:pt idx="3">
                  <c:v>159.60000000000002</c:v>
                </c:pt>
                <c:pt idx="4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5176"/>
        <c:axId val="436993016"/>
      </c:scatterChart>
      <c:valAx>
        <c:axId val="436985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3016"/>
        <c:crosses val="autoZero"/>
        <c:crossBetween val="midCat"/>
      </c:valAx>
      <c:valAx>
        <c:axId val="436993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5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5951224846894139"/>
                  <c:y val="-3.72645086030912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'100_7525'!$F$86:$F$90</c:f>
              <c:numCache>
                <c:formatCode>General</c:formatCode>
                <c:ptCount val="5"/>
                <c:pt idx="0">
                  <c:v>5.5481241298887033E-4</c:v>
                </c:pt>
                <c:pt idx="1">
                  <c:v>1.0790121329768575E-3</c:v>
                </c:pt>
                <c:pt idx="2">
                  <c:v>2.0464935427936043E-3</c:v>
                </c:pt>
                <c:pt idx="3">
                  <c:v>2.2065081742912848E-3</c:v>
                </c:pt>
                <c:pt idx="4">
                  <c:v>5.2577620881723644E-3</c:v>
                </c:pt>
              </c:numCache>
            </c:numRef>
          </c:xVal>
          <c:yVal>
            <c:numRef>
              <c:f>'100_7525'!$G$86:$G$90</c:f>
              <c:numCache>
                <c:formatCode>General</c:formatCode>
                <c:ptCount val="5"/>
                <c:pt idx="0">
                  <c:v>135.66</c:v>
                </c:pt>
                <c:pt idx="1">
                  <c:v>143.64000000000001</c:v>
                </c:pt>
                <c:pt idx="2">
                  <c:v>151.62</c:v>
                </c:pt>
                <c:pt idx="3">
                  <c:v>159.60000000000002</c:v>
                </c:pt>
                <c:pt idx="4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9880"/>
        <c:axId val="436994192"/>
      </c:scatterChart>
      <c:valAx>
        <c:axId val="43698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4192"/>
        <c:crosses val="autoZero"/>
        <c:crossBetween val="midCat"/>
      </c:valAx>
      <c:valAx>
        <c:axId val="436994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9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8449496937882764"/>
                  <c:y val="-0.1117920676582093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'100_5050'!$F$5:$F$12</c:f>
              <c:numCache>
                <c:formatCode>General</c:formatCode>
                <c:ptCount val="8"/>
                <c:pt idx="0">
                  <c:v>2.2772736065616657E-3</c:v>
                </c:pt>
                <c:pt idx="1">
                  <c:v>2.2772736065616657E-3</c:v>
                </c:pt>
                <c:pt idx="2">
                  <c:v>2.3142781953323513E-3</c:v>
                </c:pt>
                <c:pt idx="3">
                  <c:v>4.6335008733165064E-3</c:v>
                </c:pt>
                <c:pt idx="4">
                  <c:v>4.7760676318044622E-3</c:v>
                </c:pt>
                <c:pt idx="5">
                  <c:v>5.0873908443554222E-3</c:v>
                </c:pt>
                <c:pt idx="6">
                  <c:v>5.4391853589170489E-3</c:v>
                </c:pt>
                <c:pt idx="7">
                  <c:v>1.1557940943796448E-2</c:v>
                </c:pt>
              </c:numCache>
            </c:numRef>
          </c:xVal>
          <c:yVal>
            <c:numRef>
              <c:f>'100_5050'!$G$5:$G$12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6744"/>
        <c:axId val="436990664"/>
      </c:scatterChart>
      <c:valAx>
        <c:axId val="43698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0664"/>
        <c:crosses val="autoZero"/>
        <c:crossBetween val="midCat"/>
      </c:valAx>
      <c:valAx>
        <c:axId val="436990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6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7475874890638672"/>
                  <c:y val="-9.2592592592592587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'1_100percent'!$AA$69:$AA$75</c:f>
              <c:numCache>
                <c:formatCode>General</c:formatCode>
                <c:ptCount val="7"/>
                <c:pt idx="0">
                  <c:v>1.4411183872075611E-2</c:v>
                </c:pt>
                <c:pt idx="1">
                  <c:v>2.380956131593407E-2</c:v>
                </c:pt>
                <c:pt idx="2">
                  <c:v>2.380956131593407E-2</c:v>
                </c:pt>
                <c:pt idx="3">
                  <c:v>3.774462345940157E-2</c:v>
                </c:pt>
                <c:pt idx="4">
                  <c:v>4.6433752896768397E-2</c:v>
                </c:pt>
                <c:pt idx="5">
                  <c:v>8.297258825593623E-2</c:v>
                </c:pt>
                <c:pt idx="6">
                  <c:v>0.13153409504762295</c:v>
                </c:pt>
              </c:numCache>
            </c:numRef>
          </c:xVal>
          <c:yVal>
            <c:numRef>
              <c:f>'1_100percent'!$AB$69:$AB$75</c:f>
              <c:numCache>
                <c:formatCode>General</c:formatCode>
                <c:ptCount val="7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973600"/>
        <c:axId val="421976736"/>
      </c:scatterChart>
      <c:valAx>
        <c:axId val="4219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6736"/>
        <c:crosses val="autoZero"/>
        <c:crossBetween val="midCat"/>
      </c:valAx>
      <c:valAx>
        <c:axId val="421976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3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3278215223097112"/>
                  <c:y val="-6.769174686497521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'100_5050'!$F$21:$F$28</c:f>
              <c:numCache>
                <c:formatCode>General</c:formatCode>
                <c:ptCount val="8"/>
                <c:pt idx="0">
                  <c:v>3.2960465361095122E-4</c:v>
                </c:pt>
                <c:pt idx="1">
                  <c:v>7.5766930358747448E-4</c:v>
                </c:pt>
                <c:pt idx="2">
                  <c:v>7.9123996823432898E-4</c:v>
                </c:pt>
                <c:pt idx="3">
                  <c:v>9.5173049069603656E-4</c:v>
                </c:pt>
                <c:pt idx="4">
                  <c:v>1.7615783538862642E-3</c:v>
                </c:pt>
                <c:pt idx="5">
                  <c:v>1.7615783538862642E-3</c:v>
                </c:pt>
                <c:pt idx="6">
                  <c:v>1.7843435756282882E-3</c:v>
                </c:pt>
                <c:pt idx="7">
                  <c:v>3.7292401021267918E-3</c:v>
                </c:pt>
              </c:numCache>
            </c:numRef>
          </c:xVal>
          <c:yVal>
            <c:numRef>
              <c:f>'100_5050'!$G$21:$G$28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7528"/>
        <c:axId val="436995760"/>
      </c:scatterChart>
      <c:valAx>
        <c:axId val="436987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5760"/>
        <c:crosses val="autoZero"/>
        <c:crossBetween val="midCat"/>
      </c:valAx>
      <c:valAx>
        <c:axId val="43699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75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5499628171478561"/>
                  <c:y val="-0.1350528579760863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'100_5050'!$F$42:$F$45</c:f>
              <c:numCache>
                <c:formatCode>General</c:formatCode>
                <c:ptCount val="4"/>
                <c:pt idx="0">
                  <c:v>9.11024885839367E-4</c:v>
                </c:pt>
                <c:pt idx="1">
                  <c:v>1.035942551636068E-3</c:v>
                </c:pt>
                <c:pt idx="2">
                  <c:v>1.035942551636068E-3</c:v>
                </c:pt>
                <c:pt idx="3">
                  <c:v>1.0613870647656809E-3</c:v>
                </c:pt>
              </c:numCache>
            </c:numRef>
          </c:xVal>
          <c:yVal>
            <c:numRef>
              <c:f>'100_5050'!$G$42:$G$45</c:f>
              <c:numCache>
                <c:formatCode>General</c:formatCode>
                <c:ptCount val="4"/>
                <c:pt idx="0">
                  <c:v>143.64000000000001</c:v>
                </c:pt>
                <c:pt idx="1">
                  <c:v>151.62</c:v>
                </c:pt>
                <c:pt idx="2">
                  <c:v>159.60000000000002</c:v>
                </c:pt>
                <c:pt idx="3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9096"/>
        <c:axId val="436988312"/>
      </c:scatterChart>
      <c:valAx>
        <c:axId val="436989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8312"/>
        <c:crosses val="autoZero"/>
        <c:crossBetween val="midCat"/>
      </c:valAx>
      <c:valAx>
        <c:axId val="4369883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9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851946631671041"/>
                  <c:y val="-1.593832020997375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'100_5050'!$F$60:$F$63</c:f>
              <c:numCache>
                <c:formatCode>General</c:formatCode>
                <c:ptCount val="4"/>
                <c:pt idx="0">
                  <c:v>4.769765891845552E-4</c:v>
                </c:pt>
                <c:pt idx="1">
                  <c:v>4.8086392411516627E-4</c:v>
                </c:pt>
                <c:pt idx="2">
                  <c:v>5.4722266678384969E-4</c:v>
                </c:pt>
                <c:pt idx="3">
                  <c:v>7.962649864622504E-4</c:v>
                </c:pt>
              </c:numCache>
            </c:numRef>
          </c:xVal>
          <c:yVal>
            <c:numRef>
              <c:f>'100_5050'!$G$60:$G$63</c:f>
              <c:numCache>
                <c:formatCode>General</c:formatCode>
                <c:ptCount val="4"/>
                <c:pt idx="0">
                  <c:v>143.64000000000001</c:v>
                </c:pt>
                <c:pt idx="1">
                  <c:v>151.62</c:v>
                </c:pt>
                <c:pt idx="2">
                  <c:v>159.60000000000002</c:v>
                </c:pt>
                <c:pt idx="3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7000856"/>
        <c:axId val="437003208"/>
      </c:scatterChart>
      <c:valAx>
        <c:axId val="43700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003208"/>
        <c:crosses val="autoZero"/>
        <c:crossBetween val="midCat"/>
      </c:valAx>
      <c:valAx>
        <c:axId val="437003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0008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01842007524826"/>
          <c:y val="6.4236657917760273E-2"/>
          <c:w val="0.8358220256938651"/>
          <c:h val="0.76722951297754427"/>
        </c:manualLayout>
      </c:layout>
      <c:scatterChart>
        <c:scatterStyle val="lineMarker"/>
        <c:varyColors val="0"/>
        <c:ser>
          <c:idx val="0"/>
          <c:order val="0"/>
          <c:tx>
            <c:v>0%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Summary!$C$14:$C$18</c:f>
                <c:numCache>
                  <c:formatCode>General</c:formatCode>
                  <c:ptCount val="5"/>
                  <c:pt idx="0">
                    <c:v>25.752620946595854</c:v>
                  </c:pt>
                  <c:pt idx="1">
                    <c:v>17.886410783049751</c:v>
                  </c:pt>
                  <c:pt idx="2">
                    <c:v>27.181247518586673</c:v>
                  </c:pt>
                  <c:pt idx="3">
                    <c:v>16.543255330093544</c:v>
                  </c:pt>
                </c:numCache>
              </c:numRef>
            </c:plus>
            <c:minus>
              <c:numRef>
                <c:f>Summary!$C$14:$C$18</c:f>
                <c:numCache>
                  <c:formatCode>General</c:formatCode>
                  <c:ptCount val="5"/>
                  <c:pt idx="0">
                    <c:v>25.752620946595854</c:v>
                  </c:pt>
                  <c:pt idx="1">
                    <c:v>17.886410783049751</c:v>
                  </c:pt>
                  <c:pt idx="2">
                    <c:v>27.181247518586673</c:v>
                  </c:pt>
                  <c:pt idx="3">
                    <c:v>16.543255330093544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5"/>
                </a:solidFill>
                <a:round/>
              </a:ln>
              <a:effectLst/>
            </c:spPr>
          </c:errBars>
          <c:xVal>
            <c:numRef>
              <c:f>Summary!$A$14:$A$18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Summary!$B$14:$B$18</c:f>
              <c:numCache>
                <c:formatCode>General</c:formatCode>
                <c:ptCount val="5"/>
                <c:pt idx="0">
                  <c:v>78.402745454545453</c:v>
                </c:pt>
                <c:pt idx="1">
                  <c:v>79.714500000000001</c:v>
                </c:pt>
                <c:pt idx="2">
                  <c:v>120.99833333333332</c:v>
                </c:pt>
                <c:pt idx="3">
                  <c:v>80.217749999999995</c:v>
                </c:pt>
              </c:numCache>
            </c:numRef>
          </c:yVal>
          <c:smooth val="0"/>
        </c:ser>
        <c:ser>
          <c:idx val="1"/>
          <c:order val="1"/>
          <c:tx>
            <c:v>10%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Summary!$G$14:$G$18</c:f>
                <c:numCache>
                  <c:formatCode>General</c:formatCode>
                  <c:ptCount val="5"/>
                  <c:pt idx="0">
                    <c:v>30.262661757794415</c:v>
                  </c:pt>
                  <c:pt idx="1">
                    <c:v>13.543835928815303</c:v>
                  </c:pt>
                  <c:pt idx="2">
                    <c:v>37.842241659288618</c:v>
                  </c:pt>
                  <c:pt idx="3">
                    <c:v>4.2317770498928748</c:v>
                  </c:pt>
                  <c:pt idx="4">
                    <c:v>16.355901962288691</c:v>
                  </c:pt>
                </c:numCache>
              </c:numRef>
            </c:plus>
            <c:minus>
              <c:numRef>
                <c:f>Summary!$G$14:$G$18</c:f>
                <c:numCache>
                  <c:formatCode>General</c:formatCode>
                  <c:ptCount val="5"/>
                  <c:pt idx="0">
                    <c:v>30.262661757794415</c:v>
                  </c:pt>
                  <c:pt idx="1">
                    <c:v>13.543835928815303</c:v>
                  </c:pt>
                  <c:pt idx="2">
                    <c:v>37.842241659288618</c:v>
                  </c:pt>
                  <c:pt idx="3">
                    <c:v>4.2317770498928748</c:v>
                  </c:pt>
                  <c:pt idx="4">
                    <c:v>16.355901962288691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Summary!$E$14:$E$18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Summary!$F$14:$F$18</c:f>
              <c:numCache>
                <c:formatCode>General</c:formatCode>
                <c:ptCount val="5"/>
                <c:pt idx="0">
                  <c:v>127.54833333333333</c:v>
                </c:pt>
                <c:pt idx="1">
                  <c:v>112.2225</c:v>
                </c:pt>
                <c:pt idx="2">
                  <c:v>80.202600000000004</c:v>
                </c:pt>
                <c:pt idx="3">
                  <c:v>82.625999999999991</c:v>
                </c:pt>
                <c:pt idx="4">
                  <c:v>91.215500000000006</c:v>
                </c:pt>
              </c:numCache>
            </c:numRef>
          </c:yVal>
          <c:smooth val="0"/>
        </c:ser>
        <c:ser>
          <c:idx val="2"/>
          <c:order val="2"/>
          <c:tx>
            <c:v>25%</c:v>
          </c:tx>
          <c:spPr>
            <a:ln w="25400" cap="rnd">
              <a:solidFill>
                <a:schemeClr val="bg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Summary!$K$14:$K$18</c:f>
                <c:numCache>
                  <c:formatCode>General</c:formatCode>
                  <c:ptCount val="5"/>
                  <c:pt idx="0">
                    <c:v>14.561364519394079</c:v>
                  </c:pt>
                  <c:pt idx="1">
                    <c:v>11.423664250872731</c:v>
                  </c:pt>
                  <c:pt idx="2">
                    <c:v>21.857296088491832</c:v>
                  </c:pt>
                  <c:pt idx="3">
                    <c:v>24.863382714345175</c:v>
                  </c:pt>
                  <c:pt idx="4">
                    <c:v>8.321006349394688</c:v>
                  </c:pt>
                </c:numCache>
              </c:numRef>
            </c:plus>
            <c:minus>
              <c:numRef>
                <c:f>Summary!$K$14:$K$18</c:f>
                <c:numCache>
                  <c:formatCode>General</c:formatCode>
                  <c:ptCount val="5"/>
                  <c:pt idx="0">
                    <c:v>14.561364519394079</c:v>
                  </c:pt>
                  <c:pt idx="1">
                    <c:v>11.423664250872731</c:v>
                  </c:pt>
                  <c:pt idx="2">
                    <c:v>21.857296088491832</c:v>
                  </c:pt>
                  <c:pt idx="3">
                    <c:v>24.863382714345175</c:v>
                  </c:pt>
                  <c:pt idx="4">
                    <c:v>8.321006349394688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Summary!$I$14:$I$18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Summary!$J$14:$J$18</c:f>
              <c:numCache>
                <c:formatCode>General</c:formatCode>
                <c:ptCount val="5"/>
                <c:pt idx="0">
                  <c:v>116.13166666666666</c:v>
                </c:pt>
                <c:pt idx="1">
                  <c:v>88.357249999999993</c:v>
                </c:pt>
                <c:pt idx="2">
                  <c:v>87.633400000000009</c:v>
                </c:pt>
                <c:pt idx="3">
                  <c:v>88.02000000000001</c:v>
                </c:pt>
                <c:pt idx="4">
                  <c:v>115.48666666666666</c:v>
                </c:pt>
              </c:numCache>
            </c:numRef>
          </c:yVal>
          <c:smooth val="0"/>
        </c:ser>
        <c:ser>
          <c:idx val="3"/>
          <c:order val="3"/>
          <c:tx>
            <c:v>50%</c:v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Summary!$O$14:$O$18</c:f>
                <c:numCache>
                  <c:formatCode>General</c:formatCode>
                  <c:ptCount val="5"/>
                  <c:pt idx="1">
                    <c:v>12.180653687302607</c:v>
                  </c:pt>
                  <c:pt idx="2">
                    <c:v>25.298999999999999</c:v>
                  </c:pt>
                  <c:pt idx="3">
                    <c:v>7.3087718986616776</c:v>
                  </c:pt>
                  <c:pt idx="4">
                    <c:v>19.753203115781901</c:v>
                  </c:pt>
                </c:numCache>
              </c:numRef>
            </c:plus>
            <c:minus>
              <c:numRef>
                <c:f>Summary!$O$14:$O$18</c:f>
                <c:numCache>
                  <c:formatCode>General</c:formatCode>
                  <c:ptCount val="5"/>
                  <c:pt idx="1">
                    <c:v>12.180653687302607</c:v>
                  </c:pt>
                  <c:pt idx="2">
                    <c:v>25.298999999999999</c:v>
                  </c:pt>
                  <c:pt idx="3">
                    <c:v>7.3087718986616776</c:v>
                  </c:pt>
                  <c:pt idx="4">
                    <c:v>19.753203115781901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xVal>
            <c:numRef>
              <c:f>Summary!$M$14:$M$18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Summary!$N$14:$N$18</c:f>
              <c:numCache>
                <c:formatCode>General</c:formatCode>
                <c:ptCount val="5"/>
                <c:pt idx="1">
                  <c:v>72.404750000000007</c:v>
                </c:pt>
                <c:pt idx="2">
                  <c:v>90.334000000000003</c:v>
                </c:pt>
                <c:pt idx="3">
                  <c:v>87.786999999999992</c:v>
                </c:pt>
                <c:pt idx="4">
                  <c:v>92.296666666666667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98896"/>
        <c:axId val="436998504"/>
      </c:scatterChart>
      <c:valAx>
        <c:axId val="436998896"/>
        <c:scaling>
          <c:orientation val="minMax"/>
          <c:max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cross-linking concentration</a:t>
                </a:r>
              </a:p>
            </c:rich>
          </c:tx>
          <c:layout>
            <c:manualLayout>
              <c:xMode val="edge"/>
              <c:yMode val="edge"/>
              <c:x val="0.28582174103237096"/>
              <c:y val="0.920347039953339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8504"/>
        <c:crosses val="autoZero"/>
        <c:crossBetween val="midCat"/>
      </c:valAx>
      <c:valAx>
        <c:axId val="43699850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Percolation diameter (microns)</a:t>
                </a:r>
              </a:p>
            </c:rich>
          </c:tx>
          <c:layout>
            <c:manualLayout>
              <c:xMode val="edge"/>
              <c:yMode val="edge"/>
              <c:x val="5.5555555555555558E-3"/>
              <c:y val="0.201265675123942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88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77981390994564"/>
          <c:y val="5.4977398658501007E-2"/>
          <c:w val="0.82436538547074256"/>
          <c:h val="0.78574803149606298"/>
        </c:manualLayout>
      </c:layout>
      <c:barChart>
        <c:barDir val="col"/>
        <c:grouping val="clustered"/>
        <c:varyColors val="0"/>
        <c:ser>
          <c:idx val="0"/>
          <c:order val="0"/>
          <c:tx>
            <c:v>1%</c:v>
          </c:tx>
          <c:spPr>
            <a:solidFill>
              <a:schemeClr val="bg1">
                <a:lumMod val="85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Summary!$D$21:$D$23</c:f>
                <c:numCache>
                  <c:formatCode>General</c:formatCode>
                  <c:ptCount val="3"/>
                  <c:pt idx="0">
                    <c:v>0.61094025894518011</c:v>
                  </c:pt>
                  <c:pt idx="1">
                    <c:v>30.262661757794415</c:v>
                  </c:pt>
                  <c:pt idx="2">
                    <c:v>14.561364519394079</c:v>
                  </c:pt>
                </c:numCache>
              </c:numRef>
            </c:plus>
            <c:minus>
              <c:numRef>
                <c:f>Summary!$D$21:$D$23</c:f>
                <c:numCache>
                  <c:formatCode>General</c:formatCode>
                  <c:ptCount val="3"/>
                  <c:pt idx="0">
                    <c:v>0.61094025894518011</c:v>
                  </c:pt>
                  <c:pt idx="1">
                    <c:v>30.262661757794415</c:v>
                  </c:pt>
                  <c:pt idx="2">
                    <c:v>14.561364519394079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85000"/>
                  </a:schemeClr>
                </a:solidFill>
                <a:round/>
              </a:ln>
              <a:effectLst/>
            </c:spPr>
          </c:errBars>
          <c:cat>
            <c:numRef>
              <c:f>Summary!$B$21:$B$24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Summary!$C$21:$C$24</c:f>
              <c:numCache>
                <c:formatCode>General</c:formatCode>
                <c:ptCount val="4"/>
                <c:pt idx="0">
                  <c:v>89.662999999999997</c:v>
                </c:pt>
                <c:pt idx="1">
                  <c:v>127.54833333333333</c:v>
                </c:pt>
                <c:pt idx="2">
                  <c:v>116.13166666666666</c:v>
                </c:pt>
              </c:numCache>
            </c:numRef>
          </c:val>
        </c:ser>
        <c:ser>
          <c:idx val="1"/>
          <c:order val="1"/>
          <c:tx>
            <c:v>10%</c:v>
          </c:tx>
          <c:spPr>
            <a:solidFill>
              <a:schemeClr val="bg1">
                <a:lumMod val="65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Summary!$I$21:$I$24</c:f>
                <c:numCache>
                  <c:formatCode>General</c:formatCode>
                  <c:ptCount val="4"/>
                  <c:pt idx="0">
                    <c:v>17.885999999999999</c:v>
                  </c:pt>
                  <c:pt idx="1">
                    <c:v>13.543835928815303</c:v>
                  </c:pt>
                  <c:pt idx="2">
                    <c:v>11.423664250872731</c:v>
                  </c:pt>
                  <c:pt idx="3">
                    <c:v>12.180999999999999</c:v>
                  </c:pt>
                </c:numCache>
              </c:numRef>
            </c:plus>
            <c:minus>
              <c:numRef>
                <c:f>Summary!$I$21:$I$24</c:f>
                <c:numCache>
                  <c:formatCode>General</c:formatCode>
                  <c:ptCount val="4"/>
                  <c:pt idx="0">
                    <c:v>17.885999999999999</c:v>
                  </c:pt>
                  <c:pt idx="1">
                    <c:v>13.543835928815303</c:v>
                  </c:pt>
                  <c:pt idx="2">
                    <c:v>11.423664250872731</c:v>
                  </c:pt>
                  <c:pt idx="3">
                    <c:v>12.180999999999999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</c:spPr>
          </c:errBars>
          <c:cat>
            <c:numRef>
              <c:f>Summary!$G$21:$G$24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Summary!$H$21:$H$24</c:f>
              <c:numCache>
                <c:formatCode>General</c:formatCode>
                <c:ptCount val="4"/>
                <c:pt idx="0">
                  <c:v>79.715000000000003</c:v>
                </c:pt>
                <c:pt idx="1">
                  <c:v>112.2225</c:v>
                </c:pt>
                <c:pt idx="2">
                  <c:v>88.357249999999993</c:v>
                </c:pt>
                <c:pt idx="3">
                  <c:v>72.404750000000007</c:v>
                </c:pt>
              </c:numCache>
            </c:numRef>
          </c:val>
        </c:ser>
        <c:ser>
          <c:idx val="2"/>
          <c:order val="2"/>
          <c:tx>
            <c:v>30%</c:v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Summary!$N$21:$N$24</c:f>
                <c:numCache>
                  <c:formatCode>General</c:formatCode>
                  <c:ptCount val="4"/>
                  <c:pt idx="0">
                    <c:v>27.181247518586673</c:v>
                  </c:pt>
                  <c:pt idx="1">
                    <c:v>37.842241659288618</c:v>
                  </c:pt>
                  <c:pt idx="2">
                    <c:v>21.857296088491832</c:v>
                  </c:pt>
                  <c:pt idx="3">
                    <c:v>25.298999999999999</c:v>
                  </c:pt>
                </c:numCache>
              </c:numRef>
            </c:plus>
            <c:minus>
              <c:numRef>
                <c:f>Summary!$N$21:$N$24</c:f>
                <c:numCache>
                  <c:formatCode>General</c:formatCode>
                  <c:ptCount val="4"/>
                  <c:pt idx="0">
                    <c:v>27.181247518586673</c:v>
                  </c:pt>
                  <c:pt idx="1">
                    <c:v>37.842241659288618</c:v>
                  </c:pt>
                  <c:pt idx="2">
                    <c:v>21.857296088491832</c:v>
                  </c:pt>
                  <c:pt idx="3">
                    <c:v>25.298999999999999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50000"/>
                    <a:lumOff val="50000"/>
                  </a:schemeClr>
                </a:solidFill>
                <a:round/>
              </a:ln>
              <a:effectLst/>
            </c:spPr>
          </c:errBars>
          <c:cat>
            <c:numRef>
              <c:f>Summary!$L$21:$L$24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Summary!$M$21:$M$24</c:f>
              <c:numCache>
                <c:formatCode>General</c:formatCode>
                <c:ptCount val="4"/>
                <c:pt idx="0">
                  <c:v>120.99833333333332</c:v>
                </c:pt>
                <c:pt idx="1">
                  <c:v>80.202600000000004</c:v>
                </c:pt>
                <c:pt idx="2">
                  <c:v>87.633400000000009</c:v>
                </c:pt>
                <c:pt idx="3">
                  <c:v>90.334000000000003</c:v>
                </c:pt>
              </c:numCache>
            </c:numRef>
          </c:val>
        </c:ser>
        <c:ser>
          <c:idx val="3"/>
          <c:order val="3"/>
          <c:tx>
            <c:v>50%</c:v>
          </c:tx>
          <c:spPr>
            <a:solidFill>
              <a:schemeClr val="tx1">
                <a:lumMod val="75000"/>
                <a:lumOff val="25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Summary!$S$21:$S$24</c:f>
                <c:numCache>
                  <c:formatCode>General</c:formatCode>
                  <c:ptCount val="4"/>
                  <c:pt idx="0">
                    <c:v>16.543255330093544</c:v>
                  </c:pt>
                  <c:pt idx="1">
                    <c:v>4.2317770498928748</c:v>
                  </c:pt>
                  <c:pt idx="2">
                    <c:v>24.863382714345175</c:v>
                  </c:pt>
                  <c:pt idx="3">
                    <c:v>7.3087718986616776</c:v>
                  </c:pt>
                </c:numCache>
              </c:numRef>
            </c:plus>
            <c:minus>
              <c:numRef>
                <c:f>Summary!$S$21:$S$24</c:f>
                <c:numCache>
                  <c:formatCode>General</c:formatCode>
                  <c:ptCount val="4"/>
                  <c:pt idx="0">
                    <c:v>16.543255330093544</c:v>
                  </c:pt>
                  <c:pt idx="1">
                    <c:v>4.2317770498928748</c:v>
                  </c:pt>
                  <c:pt idx="2">
                    <c:v>24.863382714345175</c:v>
                  </c:pt>
                  <c:pt idx="3">
                    <c:v>7.3087718986616776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numRef>
              <c:f>Summary!$Q$21:$Q$24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Summary!$R$21:$R$24</c:f>
              <c:numCache>
                <c:formatCode>General</c:formatCode>
                <c:ptCount val="4"/>
                <c:pt idx="0">
                  <c:v>80.217749999999995</c:v>
                </c:pt>
                <c:pt idx="1">
                  <c:v>82.625999999999991</c:v>
                </c:pt>
                <c:pt idx="2">
                  <c:v>88.02000000000001</c:v>
                </c:pt>
                <c:pt idx="3">
                  <c:v>87.786999999999992</c:v>
                </c:pt>
              </c:numCache>
            </c:numRef>
          </c:val>
        </c:ser>
        <c:ser>
          <c:idx val="4"/>
          <c:order val="4"/>
          <c:tx>
            <c:v>100%</c:v>
          </c:tx>
          <c:spPr>
            <a:solidFill>
              <a:schemeClr val="tx1"/>
            </a:solidFill>
            <a:ln w="12700">
              <a:solidFill>
                <a:schemeClr val="accent6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Summary!$X$21:$X$24</c:f>
                <c:numCache>
                  <c:formatCode>General</c:formatCode>
                  <c:ptCount val="4"/>
                  <c:pt idx="0">
                    <c:v>27.130451535129282</c:v>
                  </c:pt>
                  <c:pt idx="1">
                    <c:v>16.355901962288691</c:v>
                  </c:pt>
                  <c:pt idx="2">
                    <c:v>8.321006349394688</c:v>
                  </c:pt>
                  <c:pt idx="3">
                    <c:v>19.753203115781901</c:v>
                  </c:pt>
                </c:numCache>
              </c:numRef>
            </c:plus>
            <c:minus>
              <c:numRef>
                <c:f>Summary!$X$21:$X$24</c:f>
                <c:numCache>
                  <c:formatCode>General</c:formatCode>
                  <c:ptCount val="4"/>
                  <c:pt idx="0">
                    <c:v>27.130451535129282</c:v>
                  </c:pt>
                  <c:pt idx="1">
                    <c:v>16.355901962288691</c:v>
                  </c:pt>
                  <c:pt idx="2">
                    <c:v>8.321006349394688</c:v>
                  </c:pt>
                  <c:pt idx="3">
                    <c:v>19.753203115781901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Summary!$V$21:$V$24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Summary!$W$21:$W$24</c:f>
              <c:numCache>
                <c:formatCode>General</c:formatCode>
                <c:ptCount val="4"/>
                <c:pt idx="0">
                  <c:v>74.775000000000006</c:v>
                </c:pt>
                <c:pt idx="1">
                  <c:v>91.215500000000006</c:v>
                </c:pt>
                <c:pt idx="2">
                  <c:v>115.48666666666666</c:v>
                </c:pt>
                <c:pt idx="3">
                  <c:v>92.296666666666667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7002424"/>
        <c:axId val="437002032"/>
      </c:barChart>
      <c:catAx>
        <c:axId val="437002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Percentage fibrinogen</a:t>
                </a:r>
              </a:p>
            </c:rich>
          </c:tx>
          <c:layout>
            <c:manualLayout>
              <c:xMode val="edge"/>
              <c:yMode val="edge"/>
              <c:x val="0.41683388507996622"/>
              <c:y val="0.920347039953339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002032"/>
        <c:crosses val="autoZero"/>
        <c:auto val="1"/>
        <c:lblAlgn val="ctr"/>
        <c:lblOffset val="100"/>
        <c:noMultiLvlLbl val="1"/>
      </c:catAx>
      <c:valAx>
        <c:axId val="4370020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Percolation diameter (microns)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002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79739507798404"/>
          <c:y val="8.8223946683025412E-2"/>
          <c:w val="0.81061112823931802"/>
          <c:h val="0.80633694814612156"/>
        </c:manualLayout>
      </c:layout>
      <c:scatterChart>
        <c:scatterStyle val="lineMarker"/>
        <c:varyColors val="0"/>
        <c:ser>
          <c:idx val="0"/>
          <c:order val="0"/>
          <c:tx>
            <c:strRef>
              <c:f>Summary!$B$45</c:f>
              <c:strCache>
                <c:ptCount val="1"/>
                <c:pt idx="0">
                  <c:v>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Summary!$F$46:$F$49</c:f>
                <c:numCache>
                  <c:formatCode>General</c:formatCode>
                  <c:ptCount val="4"/>
                  <c:pt idx="0">
                    <c:v>25.752620946595854</c:v>
                  </c:pt>
                  <c:pt idx="1">
                    <c:v>17.886410783049751</c:v>
                  </c:pt>
                  <c:pt idx="2">
                    <c:v>27.181247518586673</c:v>
                  </c:pt>
                  <c:pt idx="3">
                    <c:v>16.543255330093544</c:v>
                  </c:pt>
                </c:numCache>
              </c:numRef>
            </c:plus>
            <c:minus>
              <c:numRef>
                <c:f>Summary!$F$46:$F$49</c:f>
                <c:numCache>
                  <c:formatCode>General</c:formatCode>
                  <c:ptCount val="4"/>
                  <c:pt idx="0">
                    <c:v>25.752620946595854</c:v>
                  </c:pt>
                  <c:pt idx="1">
                    <c:v>17.886410783049751</c:v>
                  </c:pt>
                  <c:pt idx="2">
                    <c:v>27.181247518586673</c:v>
                  </c:pt>
                  <c:pt idx="3">
                    <c:v>16.543255330093544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xVal>
            <c:numRef>
              <c:f>Summary!$A$46:$A$50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30</c:v>
                </c:pt>
                <c:pt idx="3">
                  <c:v>50</c:v>
                </c:pt>
                <c:pt idx="4">
                  <c:v>100</c:v>
                </c:pt>
              </c:numCache>
            </c:numRef>
          </c:xVal>
          <c:yVal>
            <c:numRef>
              <c:f>Summary!$B$46:$B$50</c:f>
              <c:numCache>
                <c:formatCode>General</c:formatCode>
                <c:ptCount val="5"/>
                <c:pt idx="0">
                  <c:v>78.402745454545453</c:v>
                </c:pt>
                <c:pt idx="1">
                  <c:v>79.714500000000001</c:v>
                </c:pt>
                <c:pt idx="2">
                  <c:v>120.99833333333332</c:v>
                </c:pt>
                <c:pt idx="3">
                  <c:v>80.217749999999995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Summary!$C$45</c:f>
              <c:strCache>
                <c:ptCount val="1"/>
                <c:pt idx="0">
                  <c:v>10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Summary!$G$46:$G$50</c:f>
                <c:numCache>
                  <c:formatCode>General</c:formatCode>
                  <c:ptCount val="5"/>
                  <c:pt idx="0">
                    <c:v>30.262661757794415</c:v>
                  </c:pt>
                  <c:pt idx="1">
                    <c:v>13.543835928815303</c:v>
                  </c:pt>
                  <c:pt idx="2">
                    <c:v>37.842241659288618</c:v>
                  </c:pt>
                  <c:pt idx="3">
                    <c:v>4.2317770498928748</c:v>
                  </c:pt>
                  <c:pt idx="4">
                    <c:v>16.355901962288691</c:v>
                  </c:pt>
                </c:numCache>
              </c:numRef>
            </c:plus>
            <c:minus>
              <c:numRef>
                <c:f>Summary!$G$46:$G$50</c:f>
                <c:numCache>
                  <c:formatCode>General</c:formatCode>
                  <c:ptCount val="5"/>
                  <c:pt idx="0">
                    <c:v>30.262661757794415</c:v>
                  </c:pt>
                  <c:pt idx="1">
                    <c:v>13.543835928815303</c:v>
                  </c:pt>
                  <c:pt idx="2">
                    <c:v>37.842241659288618</c:v>
                  </c:pt>
                  <c:pt idx="3">
                    <c:v>4.2317770498928748</c:v>
                  </c:pt>
                  <c:pt idx="4">
                    <c:v>16.355901962288691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Summary!$A$46:$A$50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30</c:v>
                </c:pt>
                <c:pt idx="3">
                  <c:v>50</c:v>
                </c:pt>
                <c:pt idx="4">
                  <c:v>100</c:v>
                </c:pt>
              </c:numCache>
            </c:numRef>
          </c:xVal>
          <c:yVal>
            <c:numRef>
              <c:f>Summary!$C$46:$C$50</c:f>
              <c:numCache>
                <c:formatCode>General</c:formatCode>
                <c:ptCount val="5"/>
                <c:pt idx="0">
                  <c:v>177.54833333333335</c:v>
                </c:pt>
                <c:pt idx="1">
                  <c:v>162.2225</c:v>
                </c:pt>
                <c:pt idx="2">
                  <c:v>130.20260000000002</c:v>
                </c:pt>
                <c:pt idx="3">
                  <c:v>132.62599999999998</c:v>
                </c:pt>
                <c:pt idx="4">
                  <c:v>141.21550000000002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Summary!$D$45</c:f>
              <c:strCache>
                <c:ptCount val="1"/>
                <c:pt idx="0">
                  <c:v>25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Summary!$H$46:$H$50</c:f>
                <c:numCache>
                  <c:formatCode>General</c:formatCode>
                  <c:ptCount val="5"/>
                  <c:pt idx="0">
                    <c:v>14.561364519394079</c:v>
                  </c:pt>
                  <c:pt idx="1">
                    <c:v>11.423664250872731</c:v>
                  </c:pt>
                  <c:pt idx="2">
                    <c:v>21.857296088491832</c:v>
                  </c:pt>
                  <c:pt idx="3">
                    <c:v>24.863382714345175</c:v>
                  </c:pt>
                  <c:pt idx="4">
                    <c:v>8.321006349394688</c:v>
                  </c:pt>
                </c:numCache>
              </c:numRef>
            </c:plus>
            <c:minus>
              <c:numRef>
                <c:f>Summary!$H$46:$H$50</c:f>
                <c:numCache>
                  <c:formatCode>General</c:formatCode>
                  <c:ptCount val="5"/>
                  <c:pt idx="0">
                    <c:v>14.561364519394079</c:v>
                  </c:pt>
                  <c:pt idx="1">
                    <c:v>11.423664250872731</c:v>
                  </c:pt>
                  <c:pt idx="2">
                    <c:v>21.857296088491832</c:v>
                  </c:pt>
                  <c:pt idx="3">
                    <c:v>24.863382714345175</c:v>
                  </c:pt>
                  <c:pt idx="4">
                    <c:v>8.321006349394688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Summary!$A$46:$A$50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30</c:v>
                </c:pt>
                <c:pt idx="3">
                  <c:v>50</c:v>
                </c:pt>
                <c:pt idx="4">
                  <c:v>100</c:v>
                </c:pt>
              </c:numCache>
            </c:numRef>
          </c:xVal>
          <c:yVal>
            <c:numRef>
              <c:f>Summary!$D$46:$D$50</c:f>
              <c:numCache>
                <c:formatCode>General</c:formatCode>
                <c:ptCount val="5"/>
                <c:pt idx="0">
                  <c:v>216.13166666666666</c:v>
                </c:pt>
                <c:pt idx="1">
                  <c:v>188.35724999999999</c:v>
                </c:pt>
                <c:pt idx="2">
                  <c:v>187.63339999999999</c:v>
                </c:pt>
                <c:pt idx="3">
                  <c:v>188.02</c:v>
                </c:pt>
                <c:pt idx="4">
                  <c:v>215.48666666666668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Summary!$E$45</c:f>
              <c:strCache>
                <c:ptCount val="1"/>
                <c:pt idx="0">
                  <c:v>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Summary!$I$46:$I$50</c:f>
                <c:numCache>
                  <c:formatCode>General</c:formatCode>
                  <c:ptCount val="5"/>
                  <c:pt idx="1">
                    <c:v>12.180653687302607</c:v>
                  </c:pt>
                  <c:pt idx="2">
                    <c:v>25.298999999999999</c:v>
                  </c:pt>
                  <c:pt idx="3">
                    <c:v>7.3087718986616776</c:v>
                  </c:pt>
                  <c:pt idx="4">
                    <c:v>19.753203115781901</c:v>
                  </c:pt>
                </c:numCache>
              </c:numRef>
            </c:plus>
            <c:minus>
              <c:numRef>
                <c:f>Summary!$I$46:$I$50</c:f>
                <c:numCache>
                  <c:formatCode>General</c:formatCode>
                  <c:ptCount val="5"/>
                  <c:pt idx="1">
                    <c:v>12.180653687302607</c:v>
                  </c:pt>
                  <c:pt idx="2">
                    <c:v>25.298999999999999</c:v>
                  </c:pt>
                  <c:pt idx="3">
                    <c:v>7.3087718986616776</c:v>
                  </c:pt>
                  <c:pt idx="4">
                    <c:v>19.753203115781901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Summary!$A$46:$A$50</c:f>
              <c:numCache>
                <c:formatCode>General</c:formatCode>
                <c:ptCount val="5"/>
                <c:pt idx="0">
                  <c:v>1</c:v>
                </c:pt>
                <c:pt idx="1">
                  <c:v>10</c:v>
                </c:pt>
                <c:pt idx="2">
                  <c:v>30</c:v>
                </c:pt>
                <c:pt idx="3">
                  <c:v>50</c:v>
                </c:pt>
                <c:pt idx="4">
                  <c:v>100</c:v>
                </c:pt>
              </c:numCache>
            </c:numRef>
          </c:xVal>
          <c:yVal>
            <c:numRef>
              <c:f>Summary!$E$46:$E$50</c:f>
              <c:numCache>
                <c:formatCode>General</c:formatCode>
                <c:ptCount val="5"/>
                <c:pt idx="1">
                  <c:v>222.40475000000001</c:v>
                </c:pt>
                <c:pt idx="2">
                  <c:v>240.334</c:v>
                </c:pt>
                <c:pt idx="3">
                  <c:v>237.78699999999998</c:v>
                </c:pt>
                <c:pt idx="4">
                  <c:v>242.29666666666668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97720"/>
        <c:axId val="437004384"/>
      </c:scatterChart>
      <c:valAx>
        <c:axId val="4369977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cross-linking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004384"/>
        <c:crosses val="autoZero"/>
        <c:crossBetween val="midCat"/>
      </c:valAx>
      <c:valAx>
        <c:axId val="437004384"/>
        <c:scaling>
          <c:orientation val="minMax"/>
          <c:max val="250"/>
          <c:min val="50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Trend in percolation diameter</a:t>
                </a:r>
              </a:p>
            </c:rich>
          </c:tx>
          <c:layout>
            <c:manualLayout>
              <c:xMode val="edge"/>
              <c:yMode val="edge"/>
              <c:x val="2.3591106045613961E-2"/>
              <c:y val="0.271222641759477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4369977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826588536897999"/>
          <c:y val="2.6567110582919218E-2"/>
          <c:w val="0.50997985716901661"/>
          <c:h val="5.72611354010475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1769069489465"/>
          <c:y val="7.1156299200098611E-2"/>
          <c:w val="0.84218656771314371"/>
          <c:h val="0.80661281341655089"/>
        </c:manualLayout>
      </c:layout>
      <c:scatterChart>
        <c:scatterStyle val="lineMarker"/>
        <c:varyColors val="0"/>
        <c:ser>
          <c:idx val="0"/>
          <c:order val="0"/>
          <c:tx>
            <c:strRef>
              <c:f>Summary!$B$73</c:f>
              <c:strCache>
                <c:ptCount val="1"/>
                <c:pt idx="0">
                  <c:v>1</c:v>
                </c:pt>
              </c:strCache>
            </c:strRef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Summary!$G$74:$G$76</c:f>
                <c:numCache>
                  <c:formatCode>General</c:formatCode>
                  <c:ptCount val="3"/>
                  <c:pt idx="0">
                    <c:v>0.61094025894518011</c:v>
                  </c:pt>
                  <c:pt idx="1">
                    <c:v>30.262661757794415</c:v>
                  </c:pt>
                  <c:pt idx="2">
                    <c:v>14.561364519394079</c:v>
                  </c:pt>
                </c:numCache>
              </c:numRef>
            </c:plus>
            <c:minus>
              <c:numRef>
                <c:f>Summary!$G$74:$G$76</c:f>
                <c:numCache>
                  <c:formatCode>General</c:formatCode>
                  <c:ptCount val="3"/>
                  <c:pt idx="0">
                    <c:v>0.61094025894518011</c:v>
                  </c:pt>
                  <c:pt idx="1">
                    <c:v>30.262661757794415</c:v>
                  </c:pt>
                  <c:pt idx="2">
                    <c:v>14.561364519394079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xVal>
            <c:numRef>
              <c:f>Summary!$A$74:$A$77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Summary!$B$74:$B$77</c:f>
              <c:numCache>
                <c:formatCode>General</c:formatCode>
                <c:ptCount val="4"/>
                <c:pt idx="0">
                  <c:v>89.662999999999997</c:v>
                </c:pt>
                <c:pt idx="1">
                  <c:v>127.54833333333333</c:v>
                </c:pt>
                <c:pt idx="2">
                  <c:v>116.13166666666666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Summary!$C$73</c:f>
              <c:strCache>
                <c:ptCount val="1"/>
                <c:pt idx="0">
                  <c:v>10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Summary!$H$74:$H$77</c:f>
                <c:numCache>
                  <c:formatCode>General</c:formatCode>
                  <c:ptCount val="4"/>
                  <c:pt idx="0">
                    <c:v>17.885999999999999</c:v>
                  </c:pt>
                  <c:pt idx="1">
                    <c:v>13.543835928815303</c:v>
                  </c:pt>
                  <c:pt idx="2">
                    <c:v>11.423664250872731</c:v>
                  </c:pt>
                  <c:pt idx="3">
                    <c:v>12.180999999999999</c:v>
                  </c:pt>
                </c:numCache>
              </c:numRef>
            </c:plus>
            <c:minus>
              <c:numRef>
                <c:f>Summary!$H$74:$H$77</c:f>
                <c:numCache>
                  <c:formatCode>General</c:formatCode>
                  <c:ptCount val="4"/>
                  <c:pt idx="0">
                    <c:v>17.885999999999999</c:v>
                  </c:pt>
                  <c:pt idx="1">
                    <c:v>13.543835928815303</c:v>
                  </c:pt>
                  <c:pt idx="2">
                    <c:v>11.423664250872731</c:v>
                  </c:pt>
                  <c:pt idx="3">
                    <c:v>12.180999999999999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Summary!$A$74:$A$77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Summary!$C$74:$C$77</c:f>
              <c:numCache>
                <c:formatCode>General</c:formatCode>
                <c:ptCount val="4"/>
                <c:pt idx="0">
                  <c:v>129.715</c:v>
                </c:pt>
                <c:pt idx="1">
                  <c:v>162.2225</c:v>
                </c:pt>
                <c:pt idx="2">
                  <c:v>138.35724999999999</c:v>
                </c:pt>
                <c:pt idx="3">
                  <c:v>122.40475000000001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Summary!$D$73</c:f>
              <c:strCache>
                <c:ptCount val="1"/>
                <c:pt idx="0">
                  <c:v>30</c:v>
                </c:pt>
              </c:strCache>
            </c:strRef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Summary!$I$74:$I$77</c:f>
                <c:numCache>
                  <c:formatCode>General</c:formatCode>
                  <c:ptCount val="4"/>
                  <c:pt idx="0">
                    <c:v>27.181247518586673</c:v>
                  </c:pt>
                  <c:pt idx="1">
                    <c:v>37.842241659288618</c:v>
                  </c:pt>
                  <c:pt idx="2">
                    <c:v>21.857296088491832</c:v>
                  </c:pt>
                  <c:pt idx="3">
                    <c:v>25.298999999999999</c:v>
                  </c:pt>
                </c:numCache>
              </c:numRef>
            </c:plus>
            <c:minus>
              <c:numRef>
                <c:f>Summary!$I$74:$I$77</c:f>
                <c:numCache>
                  <c:formatCode>General</c:formatCode>
                  <c:ptCount val="4"/>
                  <c:pt idx="0">
                    <c:v>27.181247518586673</c:v>
                  </c:pt>
                  <c:pt idx="1">
                    <c:v>37.842241659288618</c:v>
                  </c:pt>
                  <c:pt idx="2">
                    <c:v>21.857296088491832</c:v>
                  </c:pt>
                  <c:pt idx="3">
                    <c:v>25.298999999999999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Summary!$A$74:$A$77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Summary!$D$74:$D$77</c:f>
              <c:numCache>
                <c:formatCode>General</c:formatCode>
                <c:ptCount val="4"/>
                <c:pt idx="0">
                  <c:v>220.99833333333333</c:v>
                </c:pt>
                <c:pt idx="1">
                  <c:v>180.20260000000002</c:v>
                </c:pt>
                <c:pt idx="2">
                  <c:v>187.63339999999999</c:v>
                </c:pt>
                <c:pt idx="3">
                  <c:v>190.334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Summary!$E$73</c:f>
              <c:strCache>
                <c:ptCount val="1"/>
                <c:pt idx="0">
                  <c:v>50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Summary!$J$74:$J$77</c:f>
                <c:numCache>
                  <c:formatCode>General</c:formatCode>
                  <c:ptCount val="4"/>
                  <c:pt idx="0">
                    <c:v>16.543255330093544</c:v>
                  </c:pt>
                  <c:pt idx="1">
                    <c:v>4.2317770498928748</c:v>
                  </c:pt>
                  <c:pt idx="2">
                    <c:v>24.863382714345175</c:v>
                  </c:pt>
                  <c:pt idx="3">
                    <c:v>7.3087718986616776</c:v>
                  </c:pt>
                </c:numCache>
              </c:numRef>
            </c:plus>
            <c:minus>
              <c:numRef>
                <c:f>Summary!$J$74:$J$77</c:f>
                <c:numCache>
                  <c:formatCode>General</c:formatCode>
                  <c:ptCount val="4"/>
                  <c:pt idx="0">
                    <c:v>16.543255330093544</c:v>
                  </c:pt>
                  <c:pt idx="1">
                    <c:v>4.2317770498928748</c:v>
                  </c:pt>
                  <c:pt idx="2">
                    <c:v>24.863382714345175</c:v>
                  </c:pt>
                  <c:pt idx="3">
                    <c:v>7.3087718986616776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xVal>
            <c:numRef>
              <c:f>Summary!$A$74:$A$77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Summary!$E$74:$E$77</c:f>
              <c:numCache>
                <c:formatCode>General</c:formatCode>
                <c:ptCount val="4"/>
                <c:pt idx="0">
                  <c:v>230.21775</c:v>
                </c:pt>
                <c:pt idx="1">
                  <c:v>232.62599999999998</c:v>
                </c:pt>
                <c:pt idx="2">
                  <c:v>238.02</c:v>
                </c:pt>
                <c:pt idx="3">
                  <c:v>237.78699999999998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Summary!$F$73</c:f>
              <c:strCache>
                <c:ptCount val="1"/>
                <c:pt idx="0">
                  <c:v>100</c:v>
                </c:pt>
              </c:strCache>
            </c:strRef>
          </c:tx>
          <c:spPr>
            <a:ln w="254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Summary!$I$46:$I$50</c:f>
                <c:numCache>
                  <c:formatCode>General</c:formatCode>
                  <c:ptCount val="5"/>
                  <c:pt idx="1">
                    <c:v>12.180653687302607</c:v>
                  </c:pt>
                  <c:pt idx="2">
                    <c:v>25.298999999999999</c:v>
                  </c:pt>
                  <c:pt idx="3">
                    <c:v>7.3087718986616776</c:v>
                  </c:pt>
                  <c:pt idx="4">
                    <c:v>19.753203115781901</c:v>
                  </c:pt>
                </c:numCache>
              </c:numRef>
            </c:plus>
            <c:minus>
              <c:numRef>
                <c:f>Summary!$I$46:$I$50</c:f>
                <c:numCache>
                  <c:formatCode>General</c:formatCode>
                  <c:ptCount val="5"/>
                  <c:pt idx="1">
                    <c:v>12.180653687302607</c:v>
                  </c:pt>
                  <c:pt idx="2">
                    <c:v>25.298999999999999</c:v>
                  </c:pt>
                  <c:pt idx="3">
                    <c:v>7.3087718986616776</c:v>
                  </c:pt>
                  <c:pt idx="4">
                    <c:v>19.753203115781901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5"/>
                </a:solidFill>
                <a:round/>
              </a:ln>
              <a:effectLst/>
            </c:spPr>
          </c:errBars>
          <c:xVal>
            <c:numRef>
              <c:f>Summary!$A$74:$A$77</c:f>
              <c:numCache>
                <c:formatCode>General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Summary!$F$74:$F$77</c:f>
              <c:numCache>
                <c:formatCode>General</c:formatCode>
                <c:ptCount val="4"/>
                <c:pt idx="0">
                  <c:v>274.77499999999998</c:v>
                </c:pt>
                <c:pt idx="1">
                  <c:v>291.21550000000002</c:v>
                </c:pt>
                <c:pt idx="2">
                  <c:v>315.48666666666668</c:v>
                </c:pt>
                <c:pt idx="3">
                  <c:v>292.29666666666668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7002816"/>
        <c:axId val="437000464"/>
      </c:scatterChart>
      <c:valAx>
        <c:axId val="437002816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fibrinogen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000464"/>
        <c:crosses val="autoZero"/>
        <c:crossBetween val="midCat"/>
      </c:valAx>
      <c:valAx>
        <c:axId val="437000464"/>
        <c:scaling>
          <c:orientation val="minMax"/>
          <c:min val="80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Trend in percolation diameter</a:t>
                </a:r>
              </a:p>
            </c:rich>
          </c:tx>
          <c:layout>
            <c:manualLayout>
              <c:xMode val="edge"/>
              <c:yMode val="edge"/>
              <c:x val="2.263657663350397E-2"/>
              <c:y val="0.257995078556074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437002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569122927073169"/>
          <c:y val="1.717302720027572E-2"/>
          <c:w val="0.67430886844832882"/>
          <c:h val="5.71795692042367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4838145231846"/>
          <c:y val="0.1388888888888889"/>
          <c:w val="0.83391207349081364"/>
          <c:h val="0.65554024496937879"/>
        </c:manualLayout>
      </c:layout>
      <c:scatterChart>
        <c:scatterStyle val="lineMarker"/>
        <c:varyColors val="0"/>
        <c:ser>
          <c:idx val="0"/>
          <c:order val="0"/>
          <c:tx>
            <c:v>100%</c:v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analysis'!$G$11:$G$15</c:f>
                <c:numCache>
                  <c:formatCode>General</c:formatCode>
                  <c:ptCount val="5"/>
                  <c:pt idx="0">
                    <c:v>42.371067133018933</c:v>
                  </c:pt>
                  <c:pt idx="1">
                    <c:v>5.9453514015825846</c:v>
                  </c:pt>
                  <c:pt idx="2">
                    <c:v>9.8045907481597681</c:v>
                  </c:pt>
                  <c:pt idx="3">
                    <c:v>3.0192862834948277</c:v>
                  </c:pt>
                  <c:pt idx="4">
                    <c:v>7.9727491660311269</c:v>
                  </c:pt>
                </c:numCache>
              </c:numRef>
            </c:plus>
            <c:minus>
              <c:numRef>
                <c:f>'Pore size analysis'!$G$11:$G$15</c:f>
                <c:numCache>
                  <c:formatCode>General</c:formatCode>
                  <c:ptCount val="5"/>
                  <c:pt idx="0">
                    <c:v>42.371067133018933</c:v>
                  </c:pt>
                  <c:pt idx="1">
                    <c:v>5.9453514015825846</c:v>
                  </c:pt>
                  <c:pt idx="2">
                    <c:v>9.8045907481597681</c:v>
                  </c:pt>
                  <c:pt idx="3">
                    <c:v>3.0192862834948277</c:v>
                  </c:pt>
                  <c:pt idx="4">
                    <c:v>7.9727491660311269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xVal>
            <c:numRef>
              <c:f>'Pore size analysis'!$B$11:$B$15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'Pore size analysis'!$C$11:$C$15</c:f>
              <c:numCache>
                <c:formatCode>General</c:formatCode>
                <c:ptCount val="5"/>
                <c:pt idx="0">
                  <c:v>99.562620000000024</c:v>
                </c:pt>
                <c:pt idx="1">
                  <c:v>70.580179999999999</c:v>
                </c:pt>
                <c:pt idx="2">
                  <c:v>123.35484000000001</c:v>
                </c:pt>
                <c:pt idx="3">
                  <c:v>58.549140000000001</c:v>
                </c:pt>
                <c:pt idx="4">
                  <c:v>66.849299999999999</c:v>
                </c:pt>
              </c:numCache>
            </c:numRef>
          </c:yVal>
          <c:smooth val="0"/>
        </c:ser>
        <c:ser>
          <c:idx val="1"/>
          <c:order val="1"/>
          <c:tx>
            <c:v>90:10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analysis'!$H$11:$H$15</c:f>
                <c:numCache>
                  <c:formatCode>General</c:formatCode>
                  <c:ptCount val="5"/>
                  <c:pt idx="0">
                    <c:v>5.6367599683860954</c:v>
                  </c:pt>
                  <c:pt idx="1">
                    <c:v>17.946697310951194</c:v>
                  </c:pt>
                  <c:pt idx="2">
                    <c:v>1.2095996920882515</c:v>
                  </c:pt>
                  <c:pt idx="3">
                    <c:v>3.331936650425698</c:v>
                  </c:pt>
                  <c:pt idx="4">
                    <c:v>6.5573000989507886</c:v>
                  </c:pt>
                </c:numCache>
              </c:numRef>
            </c:plus>
            <c:minus>
              <c:numRef>
                <c:f>'Pore size analysis'!$H$11:$H$15</c:f>
                <c:numCache>
                  <c:formatCode>General</c:formatCode>
                  <c:ptCount val="5"/>
                  <c:pt idx="0">
                    <c:v>5.6367599683860954</c:v>
                  </c:pt>
                  <c:pt idx="1">
                    <c:v>17.946697310951194</c:v>
                  </c:pt>
                  <c:pt idx="2">
                    <c:v>1.2095996920882515</c:v>
                  </c:pt>
                  <c:pt idx="3">
                    <c:v>3.331936650425698</c:v>
                  </c:pt>
                  <c:pt idx="4">
                    <c:v>6.5573000989507886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'Pore size analysis'!$B$11:$B$15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'Pore size analysis'!$D$11:$D$15</c:f>
              <c:numCache>
                <c:formatCode>General</c:formatCode>
                <c:ptCount val="5"/>
                <c:pt idx="0">
                  <c:v>137.94300000000001</c:v>
                </c:pt>
                <c:pt idx="1">
                  <c:v>103.57907999999999</c:v>
                </c:pt>
                <c:pt idx="2">
                  <c:v>105.49561</c:v>
                </c:pt>
                <c:pt idx="3">
                  <c:v>61.439655000000002</c:v>
                </c:pt>
                <c:pt idx="4">
                  <c:v>111.44694</c:v>
                </c:pt>
              </c:numCache>
            </c:numRef>
          </c:yVal>
          <c:smooth val="0"/>
        </c:ser>
        <c:ser>
          <c:idx val="2"/>
          <c:order val="2"/>
          <c:tx>
            <c:v>75:25</c:v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analysis'!$I$11:$I$15</c:f>
                <c:numCache>
                  <c:formatCode>General</c:formatCode>
                  <c:ptCount val="5"/>
                  <c:pt idx="0">
                    <c:v>6.7726061068548979</c:v>
                  </c:pt>
                  <c:pt idx="1">
                    <c:v>30.292575962331128</c:v>
                  </c:pt>
                  <c:pt idx="2">
                    <c:v>5.0877140073219582</c:v>
                  </c:pt>
                  <c:pt idx="3">
                    <c:v>69.938791785888739</c:v>
                  </c:pt>
                  <c:pt idx="4">
                    <c:v>4.3274921569426317</c:v>
                  </c:pt>
                </c:numCache>
              </c:numRef>
            </c:plus>
            <c:minus>
              <c:numRef>
                <c:f>'Pore size analysis'!$I$11:$I$15</c:f>
                <c:numCache>
                  <c:formatCode>General</c:formatCode>
                  <c:ptCount val="5"/>
                  <c:pt idx="0">
                    <c:v>6.7726061068548979</c:v>
                  </c:pt>
                  <c:pt idx="1">
                    <c:v>30.292575962331128</c:v>
                  </c:pt>
                  <c:pt idx="2">
                    <c:v>5.0877140073219582</c:v>
                  </c:pt>
                  <c:pt idx="3">
                    <c:v>69.938791785888739</c:v>
                  </c:pt>
                  <c:pt idx="4">
                    <c:v>4.3274921569426317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'Pore size analysis'!$B$11:$B$15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'Pore size analysis'!$E$11:$E$15</c:f>
              <c:numCache>
                <c:formatCode>General</c:formatCode>
                <c:ptCount val="5"/>
                <c:pt idx="0">
                  <c:v>138.7089191</c:v>
                </c:pt>
                <c:pt idx="1">
                  <c:v>85.059610000000006</c:v>
                </c:pt>
                <c:pt idx="2">
                  <c:v>107.19467999999999</c:v>
                </c:pt>
                <c:pt idx="3">
                  <c:v>89.957700000000003</c:v>
                </c:pt>
                <c:pt idx="4">
                  <c:v>111.21114</c:v>
                </c:pt>
              </c:numCache>
            </c:numRef>
          </c:yVal>
          <c:smooth val="0"/>
        </c:ser>
        <c:ser>
          <c:idx val="3"/>
          <c:order val="3"/>
          <c:tx>
            <c:v>50:50</c:v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analysis'!$J$11:$J$15</c:f>
                <c:numCache>
                  <c:formatCode>General</c:formatCode>
                  <c:ptCount val="5"/>
                  <c:pt idx="0">
                    <c:v>18.96</c:v>
                  </c:pt>
                  <c:pt idx="1">
                    <c:v>5.2273121905143576</c:v>
                  </c:pt>
                  <c:pt idx="2">
                    <c:v>4.6046864301546115</c:v>
                  </c:pt>
                  <c:pt idx="3">
                    <c:v>8.2951050054384563</c:v>
                  </c:pt>
                  <c:pt idx="4">
                    <c:v>14.081188537538308</c:v>
                  </c:pt>
                </c:numCache>
              </c:numRef>
            </c:plus>
            <c:minus>
              <c:numRef>
                <c:f>'Pore size analysis'!$J$11:$J$15</c:f>
                <c:numCache>
                  <c:formatCode>General</c:formatCode>
                  <c:ptCount val="5"/>
                  <c:pt idx="0">
                    <c:v>18.96</c:v>
                  </c:pt>
                  <c:pt idx="1">
                    <c:v>5.2273121905143576</c:v>
                  </c:pt>
                  <c:pt idx="2">
                    <c:v>4.6046864301546115</c:v>
                  </c:pt>
                  <c:pt idx="3">
                    <c:v>8.2951050054384563</c:v>
                  </c:pt>
                  <c:pt idx="4">
                    <c:v>14.081188537538308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xVal>
            <c:numRef>
              <c:f>'Pore size analysis'!$B$11:$B$15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'Pore size analysis'!$F$11:$F$15</c:f>
              <c:numCache>
                <c:formatCode>General</c:formatCode>
                <c:ptCount val="5"/>
                <c:pt idx="0">
                  <c:v>59.884999999999998</c:v>
                </c:pt>
                <c:pt idx="1">
                  <c:v>46.916339999999998</c:v>
                </c:pt>
                <c:pt idx="2">
                  <c:v>90.505935000000008</c:v>
                </c:pt>
                <c:pt idx="3">
                  <c:v>99.130320000000012</c:v>
                </c:pt>
                <c:pt idx="4">
                  <c:v>119.52833000000003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99680"/>
        <c:axId val="437000072"/>
      </c:scatterChart>
      <c:valAx>
        <c:axId val="436999680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cross-linking concentration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000072"/>
        <c:crosses val="autoZero"/>
        <c:crossBetween val="midCat"/>
      </c:valAx>
      <c:valAx>
        <c:axId val="4370000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 pore size (microns)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148070866141732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99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88030667870096"/>
          <c:y val="0.15107764864527934"/>
          <c:w val="0.82319336420105083"/>
          <c:h val="0.69994890496850892"/>
        </c:manualLayout>
      </c:layout>
      <c:barChart>
        <c:barDir val="col"/>
        <c:grouping val="clustered"/>
        <c:varyColors val="0"/>
        <c:ser>
          <c:idx val="0"/>
          <c:order val="0"/>
          <c:tx>
            <c:v>1%</c:v>
          </c:tx>
          <c:spPr>
            <a:solidFill>
              <a:schemeClr val="bg1">
                <a:lumMod val="85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'Pore size analysis'!$R$12:$R$15</c:f>
                <c:numCache>
                  <c:formatCode>General</c:formatCode>
                  <c:ptCount val="4"/>
                  <c:pt idx="0">
                    <c:v>42.371067133018933</c:v>
                  </c:pt>
                  <c:pt idx="1">
                    <c:v>5.6367599683860954</c:v>
                  </c:pt>
                  <c:pt idx="2">
                    <c:v>6.7726061068548979</c:v>
                  </c:pt>
                  <c:pt idx="3">
                    <c:v>18.96</c:v>
                  </c:pt>
                </c:numCache>
              </c:numRef>
            </c:plus>
            <c:minus>
              <c:numRef>
                <c:f>'Pore size analysis'!$R$12:$R$15</c:f>
                <c:numCache>
                  <c:formatCode>General</c:formatCode>
                  <c:ptCount val="4"/>
                  <c:pt idx="0">
                    <c:v>42.371067133018933</c:v>
                  </c:pt>
                  <c:pt idx="1">
                    <c:v>5.6367599683860954</c:v>
                  </c:pt>
                  <c:pt idx="2">
                    <c:v>6.7726061068548979</c:v>
                  </c:pt>
                  <c:pt idx="3">
                    <c:v>18.96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75000"/>
                  </a:schemeClr>
                </a:solidFill>
                <a:round/>
              </a:ln>
              <a:effectLst/>
            </c:spPr>
          </c:errBars>
          <c:cat>
            <c:numRef>
              <c:f>'Pore size analysis'!$L$12:$L$15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'Pore size analysis'!$M$12:$M$15</c:f>
              <c:numCache>
                <c:formatCode>General</c:formatCode>
                <c:ptCount val="4"/>
                <c:pt idx="0">
                  <c:v>99.562620000000024</c:v>
                </c:pt>
                <c:pt idx="1">
                  <c:v>137.94300000000001</c:v>
                </c:pt>
                <c:pt idx="2">
                  <c:v>138.7089191</c:v>
                </c:pt>
                <c:pt idx="3">
                  <c:v>59.884999999999998</c:v>
                </c:pt>
              </c:numCache>
            </c:numRef>
          </c:val>
        </c:ser>
        <c:ser>
          <c:idx val="1"/>
          <c:order val="1"/>
          <c:tx>
            <c:v>10%</c:v>
          </c:tx>
          <c:spPr>
            <a:solidFill>
              <a:schemeClr val="bg1">
                <a:lumMod val="65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'Pore size analysis'!$S$12:$S$15</c:f>
                <c:numCache>
                  <c:formatCode>General</c:formatCode>
                  <c:ptCount val="4"/>
                  <c:pt idx="0">
                    <c:v>5.9453514015825846</c:v>
                  </c:pt>
                  <c:pt idx="1">
                    <c:v>17.946697310951194</c:v>
                  </c:pt>
                  <c:pt idx="2">
                    <c:v>30.292575962331128</c:v>
                  </c:pt>
                  <c:pt idx="3">
                    <c:v>5.2273121905143576</c:v>
                  </c:pt>
                </c:numCache>
              </c:numRef>
            </c:plus>
            <c:minus>
              <c:numRef>
                <c:f>'Pore size analysis'!$S$12:$S$15</c:f>
                <c:numCache>
                  <c:formatCode>General</c:formatCode>
                  <c:ptCount val="4"/>
                  <c:pt idx="0">
                    <c:v>5.9453514015825846</c:v>
                  </c:pt>
                  <c:pt idx="1">
                    <c:v>17.946697310951194</c:v>
                  </c:pt>
                  <c:pt idx="2">
                    <c:v>30.292575962331128</c:v>
                  </c:pt>
                  <c:pt idx="3">
                    <c:v>5.2273121905143576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</c:spPr>
          </c:errBars>
          <c:cat>
            <c:numRef>
              <c:f>'Pore size analysis'!$L$12:$L$15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'Pore size analysis'!$N$12:$N$15</c:f>
              <c:numCache>
                <c:formatCode>General</c:formatCode>
                <c:ptCount val="4"/>
                <c:pt idx="0">
                  <c:v>70.580179999999999</c:v>
                </c:pt>
                <c:pt idx="1">
                  <c:v>103.57907999999999</c:v>
                </c:pt>
                <c:pt idx="2">
                  <c:v>85.059610000000006</c:v>
                </c:pt>
                <c:pt idx="3">
                  <c:v>46.916339999999998</c:v>
                </c:pt>
              </c:numCache>
            </c:numRef>
          </c:val>
        </c:ser>
        <c:ser>
          <c:idx val="2"/>
          <c:order val="2"/>
          <c:tx>
            <c:v>30%</c:v>
          </c:tx>
          <c:spPr>
            <a:solidFill>
              <a:schemeClr val="tx1">
                <a:lumMod val="50000"/>
                <a:lumOff val="50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'Pore size analysis'!$T$12:$T$15</c:f>
                <c:numCache>
                  <c:formatCode>General</c:formatCode>
                  <c:ptCount val="4"/>
                  <c:pt idx="0">
                    <c:v>9.8045907481597681</c:v>
                  </c:pt>
                  <c:pt idx="1">
                    <c:v>1.2095996920882515</c:v>
                  </c:pt>
                  <c:pt idx="2">
                    <c:v>5.0877140073219582</c:v>
                  </c:pt>
                  <c:pt idx="3">
                    <c:v>4.6046864301546115</c:v>
                  </c:pt>
                </c:numCache>
              </c:numRef>
            </c:plus>
            <c:minus>
              <c:numRef>
                <c:f>'Pore size analysis'!$T$12:$T$15</c:f>
                <c:numCache>
                  <c:formatCode>General</c:formatCode>
                  <c:ptCount val="4"/>
                  <c:pt idx="0">
                    <c:v>9.8045907481597681</c:v>
                  </c:pt>
                  <c:pt idx="1">
                    <c:v>1.2095996920882515</c:v>
                  </c:pt>
                  <c:pt idx="2">
                    <c:v>5.0877140073219582</c:v>
                  </c:pt>
                  <c:pt idx="3">
                    <c:v>4.6046864301546115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'Pore size analysis'!$L$12:$L$15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'Pore size analysis'!$O$12:$O$15</c:f>
              <c:numCache>
                <c:formatCode>General</c:formatCode>
                <c:ptCount val="4"/>
                <c:pt idx="0">
                  <c:v>123.35484000000001</c:v>
                </c:pt>
                <c:pt idx="1">
                  <c:v>105.49561</c:v>
                </c:pt>
                <c:pt idx="2">
                  <c:v>107.19467999999999</c:v>
                </c:pt>
                <c:pt idx="3">
                  <c:v>90.505935000000008</c:v>
                </c:pt>
              </c:numCache>
            </c:numRef>
          </c:val>
        </c:ser>
        <c:ser>
          <c:idx val="3"/>
          <c:order val="3"/>
          <c:tx>
            <c:v>50%</c:v>
          </c:tx>
          <c:spPr>
            <a:solidFill>
              <a:schemeClr val="tx1">
                <a:lumMod val="75000"/>
                <a:lumOff val="25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'Pore size analysis'!$U$12:$U$15</c:f>
                <c:numCache>
                  <c:formatCode>General</c:formatCode>
                  <c:ptCount val="4"/>
                  <c:pt idx="0">
                    <c:v>3.0192862834948277</c:v>
                  </c:pt>
                  <c:pt idx="1">
                    <c:v>3.331936650425698</c:v>
                  </c:pt>
                  <c:pt idx="2">
                    <c:v>69.938791785888739</c:v>
                  </c:pt>
                  <c:pt idx="3">
                    <c:v>8.2951050054384563</c:v>
                  </c:pt>
                </c:numCache>
              </c:numRef>
            </c:plus>
            <c:minus>
              <c:numRef>
                <c:f>'Pore size analysis'!$U$12:$U$15</c:f>
                <c:numCache>
                  <c:formatCode>General</c:formatCode>
                  <c:ptCount val="4"/>
                  <c:pt idx="0">
                    <c:v>3.0192862834948277</c:v>
                  </c:pt>
                  <c:pt idx="1">
                    <c:v>3.331936650425698</c:v>
                  </c:pt>
                  <c:pt idx="2">
                    <c:v>69.938791785888739</c:v>
                  </c:pt>
                  <c:pt idx="3">
                    <c:v>8.2951050054384563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numRef>
              <c:f>'Pore size analysis'!$L$12:$L$15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'Pore size analysis'!$P$12:$P$15</c:f>
              <c:numCache>
                <c:formatCode>General</c:formatCode>
                <c:ptCount val="4"/>
                <c:pt idx="0">
                  <c:v>58.549140000000001</c:v>
                </c:pt>
                <c:pt idx="1">
                  <c:v>61.439655000000002</c:v>
                </c:pt>
                <c:pt idx="2">
                  <c:v>89.957700000000003</c:v>
                </c:pt>
                <c:pt idx="3">
                  <c:v>99.130320000000012</c:v>
                </c:pt>
              </c:numCache>
            </c:numRef>
          </c:val>
        </c:ser>
        <c:ser>
          <c:idx val="4"/>
          <c:order val="4"/>
          <c:tx>
            <c:v>100%</c:v>
          </c:tx>
          <c:spPr>
            <a:solidFill>
              <a:schemeClr val="tx1"/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'Pore size analysis'!$V$12:$V$15</c:f>
                <c:numCache>
                  <c:formatCode>General</c:formatCode>
                  <c:ptCount val="4"/>
                  <c:pt idx="0">
                    <c:v>7.9727491660311269</c:v>
                  </c:pt>
                  <c:pt idx="1">
                    <c:v>6.5573000989507886</c:v>
                  </c:pt>
                  <c:pt idx="2">
                    <c:v>4.3274921569426317</c:v>
                  </c:pt>
                  <c:pt idx="3">
                    <c:v>14.081188537538308</c:v>
                  </c:pt>
                </c:numCache>
              </c:numRef>
            </c:plus>
            <c:minus>
              <c:numRef>
                <c:f>'Pore size analysis'!$V$12:$V$15</c:f>
                <c:numCache>
                  <c:formatCode>General</c:formatCode>
                  <c:ptCount val="4"/>
                  <c:pt idx="0">
                    <c:v>7.9727491660311269</c:v>
                  </c:pt>
                  <c:pt idx="1">
                    <c:v>6.5573000989507886</c:v>
                  </c:pt>
                  <c:pt idx="2">
                    <c:v>4.3274921569426317</c:v>
                  </c:pt>
                  <c:pt idx="3">
                    <c:v>14.081188537538308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'Pore size analysis'!$L$12:$L$15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'Pore size analysis'!$Q$12:$Q$15</c:f>
              <c:numCache>
                <c:formatCode>General</c:formatCode>
                <c:ptCount val="4"/>
                <c:pt idx="0">
                  <c:v>66.849000000000004</c:v>
                </c:pt>
                <c:pt idx="1">
                  <c:v>111.44694</c:v>
                </c:pt>
                <c:pt idx="2">
                  <c:v>111.21114</c:v>
                </c:pt>
                <c:pt idx="3">
                  <c:v>119.52833000000003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7003992"/>
        <c:axId val="436976944"/>
      </c:barChart>
      <c:catAx>
        <c:axId val="437003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Percentage Fibrinogen</a:t>
                </a:r>
              </a:p>
            </c:rich>
          </c:tx>
          <c:layout>
            <c:manualLayout>
              <c:xMode val="edge"/>
              <c:yMode val="edge"/>
              <c:x val="0.38056506821417979"/>
              <c:y val="0.918808414702024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76944"/>
        <c:crosses val="autoZero"/>
        <c:auto val="1"/>
        <c:lblAlgn val="ctr"/>
        <c:lblOffset val="100"/>
        <c:noMultiLvlLbl val="1"/>
      </c:catAx>
      <c:valAx>
        <c:axId val="4369769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Average pore size (microns)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003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763307142180956E-2"/>
          <c:y val="3.5754559410154707E-2"/>
          <c:w val="0.82187385097781329"/>
          <c:h val="0.8463255215891506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'Pore size analysis'!$C$36</c:f>
              <c:strCache>
                <c:ptCount val="1"/>
                <c:pt idx="0">
                  <c:v>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analysis'!$G$37:$G$41</c:f>
                <c:numCache>
                  <c:formatCode>General</c:formatCode>
                  <c:ptCount val="5"/>
                  <c:pt idx="0">
                    <c:v>42.371067133018933</c:v>
                  </c:pt>
                  <c:pt idx="1">
                    <c:v>5.9453514015825846</c:v>
                  </c:pt>
                  <c:pt idx="2">
                    <c:v>9.8045907481597681</c:v>
                  </c:pt>
                  <c:pt idx="3">
                    <c:v>3.0192862834948277</c:v>
                  </c:pt>
                  <c:pt idx="4">
                    <c:v>7.9727491660311269</c:v>
                  </c:pt>
                </c:numCache>
              </c:numRef>
            </c:plus>
            <c:minus>
              <c:numRef>
                <c:f>'Pore size analysis'!$G$37:$G$41</c:f>
                <c:numCache>
                  <c:formatCode>General</c:formatCode>
                  <c:ptCount val="5"/>
                  <c:pt idx="0">
                    <c:v>42.371067133018933</c:v>
                  </c:pt>
                  <c:pt idx="1">
                    <c:v>5.9453514015825846</c:v>
                  </c:pt>
                  <c:pt idx="2">
                    <c:v>9.8045907481597681</c:v>
                  </c:pt>
                  <c:pt idx="3">
                    <c:v>3.0192862834948277</c:v>
                  </c:pt>
                  <c:pt idx="4">
                    <c:v>7.9727491660311269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xVal>
            <c:numRef>
              <c:f>'Pore size analysis'!$B$37:$B$41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'Pore size analysis'!$C$37:$C$41</c:f>
              <c:numCache>
                <c:formatCode>General</c:formatCode>
                <c:ptCount val="5"/>
                <c:pt idx="0">
                  <c:v>99.562620000000024</c:v>
                </c:pt>
                <c:pt idx="1">
                  <c:v>70.580179999999999</c:v>
                </c:pt>
                <c:pt idx="2">
                  <c:v>123.35484000000001</c:v>
                </c:pt>
                <c:pt idx="3">
                  <c:v>58.549140000000001</c:v>
                </c:pt>
                <c:pt idx="4">
                  <c:v>66.849299999999999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'Pore size analysis'!$D$36</c:f>
              <c:strCache>
                <c:ptCount val="1"/>
                <c:pt idx="0">
                  <c:v>10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analysis'!$H$37:$H$41</c:f>
                <c:numCache>
                  <c:formatCode>General</c:formatCode>
                  <c:ptCount val="5"/>
                  <c:pt idx="0">
                    <c:v>5.6367599683860954</c:v>
                  </c:pt>
                  <c:pt idx="1">
                    <c:v>17.946697310951194</c:v>
                  </c:pt>
                  <c:pt idx="2">
                    <c:v>1.2095996920882515</c:v>
                  </c:pt>
                  <c:pt idx="3">
                    <c:v>3.331936650425698</c:v>
                  </c:pt>
                  <c:pt idx="4">
                    <c:v>6.5573000989507886</c:v>
                  </c:pt>
                </c:numCache>
              </c:numRef>
            </c:plus>
            <c:minus>
              <c:numRef>
                <c:f>'Pore size analysis'!$H$37:$H$41</c:f>
                <c:numCache>
                  <c:formatCode>General</c:formatCode>
                  <c:ptCount val="5"/>
                  <c:pt idx="0">
                    <c:v>5.6367599683860954</c:v>
                  </c:pt>
                  <c:pt idx="1">
                    <c:v>17.946697310951194</c:v>
                  </c:pt>
                  <c:pt idx="2">
                    <c:v>1.2095996920882515</c:v>
                  </c:pt>
                  <c:pt idx="3">
                    <c:v>3.331936650425698</c:v>
                  </c:pt>
                  <c:pt idx="4">
                    <c:v>6.5573000989507886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'Pore size analysis'!$B$37:$B$41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'Pore size analysis'!$D$37:$D$41</c:f>
              <c:numCache>
                <c:formatCode>General</c:formatCode>
                <c:ptCount val="5"/>
                <c:pt idx="0">
                  <c:v>187.94300000000001</c:v>
                </c:pt>
                <c:pt idx="1">
                  <c:v>153.57907999999998</c:v>
                </c:pt>
                <c:pt idx="2">
                  <c:v>155.49561</c:v>
                </c:pt>
                <c:pt idx="3">
                  <c:v>111.439655</c:v>
                </c:pt>
                <c:pt idx="4">
                  <c:v>161.44693999999998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'Pore size analysis'!$E$36</c:f>
              <c:strCache>
                <c:ptCount val="1"/>
                <c:pt idx="0">
                  <c:v>25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analysis'!$I$37:$I$41</c:f>
                <c:numCache>
                  <c:formatCode>General</c:formatCode>
                  <c:ptCount val="5"/>
                  <c:pt idx="0">
                    <c:v>6.7726061068548979</c:v>
                  </c:pt>
                  <c:pt idx="1">
                    <c:v>30.292575962331128</c:v>
                  </c:pt>
                  <c:pt idx="2">
                    <c:v>5.0877140073219582</c:v>
                  </c:pt>
                  <c:pt idx="3">
                    <c:v>69.938791785888739</c:v>
                  </c:pt>
                  <c:pt idx="4">
                    <c:v>4.3274921569426317</c:v>
                  </c:pt>
                </c:numCache>
              </c:numRef>
            </c:plus>
            <c:minus>
              <c:numRef>
                <c:f>'Pore size analysis'!$I$37:$I$41</c:f>
                <c:numCache>
                  <c:formatCode>General</c:formatCode>
                  <c:ptCount val="5"/>
                  <c:pt idx="0">
                    <c:v>6.7726061068548979</c:v>
                  </c:pt>
                  <c:pt idx="1">
                    <c:v>30.292575962331128</c:v>
                  </c:pt>
                  <c:pt idx="2">
                    <c:v>5.0877140073219582</c:v>
                  </c:pt>
                  <c:pt idx="3">
                    <c:v>69.938791785888739</c:v>
                  </c:pt>
                  <c:pt idx="4">
                    <c:v>4.3274921569426317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'Pore size analysis'!$B$37:$B$41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'Pore size analysis'!$E$37:$E$41</c:f>
              <c:numCache>
                <c:formatCode>General</c:formatCode>
                <c:ptCount val="5"/>
                <c:pt idx="0">
                  <c:v>238.7089191</c:v>
                </c:pt>
                <c:pt idx="1">
                  <c:v>185.05961000000002</c:v>
                </c:pt>
                <c:pt idx="2">
                  <c:v>207.19468000000001</c:v>
                </c:pt>
                <c:pt idx="3">
                  <c:v>189.95769999999999</c:v>
                </c:pt>
                <c:pt idx="4">
                  <c:v>211.21114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'Pore size analysis'!$F$36</c:f>
              <c:strCache>
                <c:ptCount val="1"/>
                <c:pt idx="0">
                  <c:v>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analysis'!$J$37:$J$41</c:f>
                <c:numCache>
                  <c:formatCode>General</c:formatCode>
                  <c:ptCount val="5"/>
                  <c:pt idx="0">
                    <c:v>18.96</c:v>
                  </c:pt>
                  <c:pt idx="1">
                    <c:v>5.2273121905143576</c:v>
                  </c:pt>
                  <c:pt idx="2">
                    <c:v>4.6046864301546115</c:v>
                  </c:pt>
                  <c:pt idx="3">
                    <c:v>8.2951050054384563</c:v>
                  </c:pt>
                  <c:pt idx="4">
                    <c:v>14.081188537538308</c:v>
                  </c:pt>
                </c:numCache>
              </c:numRef>
            </c:plus>
            <c:minus>
              <c:numRef>
                <c:f>'Pore size analysis'!$J$37:$J$41</c:f>
                <c:numCache>
                  <c:formatCode>General</c:formatCode>
                  <c:ptCount val="5"/>
                  <c:pt idx="0">
                    <c:v>18.96</c:v>
                  </c:pt>
                  <c:pt idx="1">
                    <c:v>5.2273121905143576</c:v>
                  </c:pt>
                  <c:pt idx="2">
                    <c:v>4.6046864301546115</c:v>
                  </c:pt>
                  <c:pt idx="3">
                    <c:v>8.2951050054384563</c:v>
                  </c:pt>
                  <c:pt idx="4">
                    <c:v>14.081188537538308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xVal>
            <c:numRef>
              <c:f>'Pore size analysis'!$B$37:$B$41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'Pore size analysis'!$F$37:$F$41</c:f>
              <c:numCache>
                <c:formatCode>General</c:formatCode>
                <c:ptCount val="5"/>
                <c:pt idx="0">
                  <c:v>259.88499999999999</c:v>
                </c:pt>
                <c:pt idx="1">
                  <c:v>246.91633999999999</c:v>
                </c:pt>
                <c:pt idx="2">
                  <c:v>290.50593500000002</c:v>
                </c:pt>
                <c:pt idx="3">
                  <c:v>299.13031999999998</c:v>
                </c:pt>
                <c:pt idx="4">
                  <c:v>319.52832999999998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78512"/>
        <c:axId val="436974592"/>
      </c:scatterChart>
      <c:valAx>
        <c:axId val="436978512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Cross-linking concentration</a:t>
                </a:r>
              </a:p>
            </c:rich>
          </c:tx>
          <c:layout>
            <c:manualLayout>
              <c:xMode val="edge"/>
              <c:yMode val="edge"/>
              <c:x val="0.28941930662937765"/>
              <c:y val="0.931480750635878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74592"/>
        <c:crosses val="autoZero"/>
        <c:crossBetween val="midCat"/>
      </c:valAx>
      <c:valAx>
        <c:axId val="436974592"/>
        <c:scaling>
          <c:orientation val="minMax"/>
          <c:max val="350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Trend in pore size</a:t>
                </a:r>
              </a:p>
            </c:rich>
          </c:tx>
          <c:layout>
            <c:manualLayout>
              <c:xMode val="edge"/>
              <c:yMode val="edge"/>
              <c:x val="1.8844334814270534E-2"/>
              <c:y val="0.315752685942904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crossAx val="436978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9800229277686258E-2"/>
          <c:y val="2.2031155862749605E-2"/>
          <c:w val="0.60763928560088043"/>
          <c:h val="5.48511284568925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5486132983377078"/>
                  <c:y val="3.199074074074074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'1_100percent'!$AA$84:$AA$92</c:f>
              <c:numCache>
                <c:formatCode>General</c:formatCode>
                <c:ptCount val="9"/>
                <c:pt idx="0">
                  <c:v>7.1317091416131561E-3</c:v>
                </c:pt>
                <c:pt idx="1">
                  <c:v>1.2382254315690646E-2</c:v>
                </c:pt>
                <c:pt idx="2">
                  <c:v>1.4411183872075611E-2</c:v>
                </c:pt>
                <c:pt idx="3">
                  <c:v>1.5677368375515564E-2</c:v>
                </c:pt>
                <c:pt idx="4">
                  <c:v>1.8954708205023315E-2</c:v>
                </c:pt>
                <c:pt idx="5">
                  <c:v>2.1122934160970067E-2</c:v>
                </c:pt>
                <c:pt idx="6">
                  <c:v>2.380956131593407E-2</c:v>
                </c:pt>
                <c:pt idx="7">
                  <c:v>2.7219444648087589E-2</c:v>
                </c:pt>
                <c:pt idx="8">
                  <c:v>3.774462345940157E-2</c:v>
                </c:pt>
              </c:numCache>
            </c:numRef>
          </c:xVal>
          <c:yVal>
            <c:numRef>
              <c:f>'1_100percent'!$AB$84:$AB$92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977520"/>
        <c:axId val="421977128"/>
      </c:scatterChart>
      <c:valAx>
        <c:axId val="42197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7128"/>
        <c:crosses val="autoZero"/>
        <c:crossBetween val="midCat"/>
      </c:valAx>
      <c:valAx>
        <c:axId val="421977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7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769666318394232E-2"/>
          <c:y val="3.5577531330479209E-2"/>
          <c:w val="0.82422691397778214"/>
          <c:h val="0.82768035617283309"/>
        </c:manualLayout>
      </c:layout>
      <c:scatterChart>
        <c:scatterStyle val="lineMarker"/>
        <c:varyColors val="0"/>
        <c:ser>
          <c:idx val="0"/>
          <c:order val="0"/>
          <c:tx>
            <c:strRef>
              <c:f>'Pore size analysis'!$M$36</c:f>
              <c:strCache>
                <c:ptCount val="1"/>
                <c:pt idx="0">
                  <c:v>1%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analysis'!$R$37:$R$40</c:f>
                <c:numCache>
                  <c:formatCode>General</c:formatCode>
                  <c:ptCount val="4"/>
                  <c:pt idx="0">
                    <c:v>42.371067133018933</c:v>
                  </c:pt>
                  <c:pt idx="1">
                    <c:v>5.6367599683860954</c:v>
                  </c:pt>
                  <c:pt idx="2">
                    <c:v>6.7726061068548979</c:v>
                  </c:pt>
                  <c:pt idx="3">
                    <c:v>18.96</c:v>
                  </c:pt>
                </c:numCache>
              </c:numRef>
            </c:plus>
            <c:minus>
              <c:numRef>
                <c:f>'Pore size analysis'!$R$37:$R$40</c:f>
                <c:numCache>
                  <c:formatCode>General</c:formatCode>
                  <c:ptCount val="4"/>
                  <c:pt idx="0">
                    <c:v>42.371067133018933</c:v>
                  </c:pt>
                  <c:pt idx="1">
                    <c:v>5.6367599683860954</c:v>
                  </c:pt>
                  <c:pt idx="2">
                    <c:v>6.7726061068548979</c:v>
                  </c:pt>
                  <c:pt idx="3">
                    <c:v>18.96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xVal>
            <c:numRef>
              <c:f>'Pore size analysis'!$L$37:$L$40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'Pore size analysis'!$M$37:$M$40</c:f>
              <c:numCache>
                <c:formatCode>General</c:formatCode>
                <c:ptCount val="4"/>
                <c:pt idx="0">
                  <c:v>99.562620000000024</c:v>
                </c:pt>
                <c:pt idx="1">
                  <c:v>137.94300000000001</c:v>
                </c:pt>
                <c:pt idx="2">
                  <c:v>138.7089191</c:v>
                </c:pt>
                <c:pt idx="3">
                  <c:v>59.884999999999998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'Pore size analysis'!$N$36</c:f>
              <c:strCache>
                <c:ptCount val="1"/>
                <c:pt idx="0">
                  <c:v>10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analysis'!$S$37:$S$40</c:f>
                <c:numCache>
                  <c:formatCode>General</c:formatCode>
                  <c:ptCount val="4"/>
                  <c:pt idx="0">
                    <c:v>5.9453514015825846</c:v>
                  </c:pt>
                  <c:pt idx="1">
                    <c:v>17.946697310951194</c:v>
                  </c:pt>
                  <c:pt idx="2">
                    <c:v>30.292575962331128</c:v>
                  </c:pt>
                  <c:pt idx="3">
                    <c:v>5.2273121905143576</c:v>
                  </c:pt>
                </c:numCache>
              </c:numRef>
            </c:plus>
            <c:minus>
              <c:numRef>
                <c:f>'Pore size analysis'!$S$37:$S$40</c:f>
                <c:numCache>
                  <c:formatCode>General</c:formatCode>
                  <c:ptCount val="4"/>
                  <c:pt idx="0">
                    <c:v>5.9453514015825846</c:v>
                  </c:pt>
                  <c:pt idx="1">
                    <c:v>17.946697310951194</c:v>
                  </c:pt>
                  <c:pt idx="2">
                    <c:v>30.292575962331128</c:v>
                  </c:pt>
                  <c:pt idx="3">
                    <c:v>5.2273121905143576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'Pore size analysis'!$L$37:$L$40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'Pore size analysis'!$N$37:$N$40</c:f>
              <c:numCache>
                <c:formatCode>General</c:formatCode>
                <c:ptCount val="4"/>
                <c:pt idx="0">
                  <c:v>170.58017999999998</c:v>
                </c:pt>
                <c:pt idx="1">
                  <c:v>203.57907999999998</c:v>
                </c:pt>
                <c:pt idx="2">
                  <c:v>185.05961000000002</c:v>
                </c:pt>
                <c:pt idx="3">
                  <c:v>146.91633999999999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'Pore size analysis'!$O$36</c:f>
              <c:strCache>
                <c:ptCount val="1"/>
                <c:pt idx="0">
                  <c:v>30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analysis'!$T$37:$T$40</c:f>
                <c:numCache>
                  <c:formatCode>General</c:formatCode>
                  <c:ptCount val="4"/>
                  <c:pt idx="0">
                    <c:v>9.8045907481597681</c:v>
                  </c:pt>
                  <c:pt idx="1">
                    <c:v>1.2095996920882515</c:v>
                  </c:pt>
                  <c:pt idx="2">
                    <c:v>5.0877140073219582</c:v>
                  </c:pt>
                  <c:pt idx="3">
                    <c:v>4.6046864301546115</c:v>
                  </c:pt>
                </c:numCache>
              </c:numRef>
            </c:plus>
            <c:minus>
              <c:numRef>
                <c:f>'Pore size analysis'!$T$37:$T$40</c:f>
                <c:numCache>
                  <c:formatCode>General</c:formatCode>
                  <c:ptCount val="4"/>
                  <c:pt idx="0">
                    <c:v>9.8045907481597681</c:v>
                  </c:pt>
                  <c:pt idx="1">
                    <c:v>1.2095996920882515</c:v>
                  </c:pt>
                  <c:pt idx="2">
                    <c:v>5.0877140073219582</c:v>
                  </c:pt>
                  <c:pt idx="3">
                    <c:v>4.6046864301546115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'Pore size analysis'!$L$37:$L$40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'Pore size analysis'!$O$37:$O$40</c:f>
              <c:numCache>
                <c:formatCode>General</c:formatCode>
                <c:ptCount val="4"/>
                <c:pt idx="0">
                  <c:v>273.35484000000002</c:v>
                </c:pt>
                <c:pt idx="1">
                  <c:v>255.49561</c:v>
                </c:pt>
                <c:pt idx="2">
                  <c:v>257.19468000000001</c:v>
                </c:pt>
                <c:pt idx="3">
                  <c:v>240.50593500000002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'Pore size analysis'!$P$36</c:f>
              <c:strCache>
                <c:ptCount val="1"/>
                <c:pt idx="0">
                  <c:v>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analysis'!$U$37:$U$40</c:f>
                <c:numCache>
                  <c:formatCode>General</c:formatCode>
                  <c:ptCount val="4"/>
                  <c:pt idx="0">
                    <c:v>3.0192862834948277</c:v>
                  </c:pt>
                  <c:pt idx="1">
                    <c:v>3.331936650425698</c:v>
                  </c:pt>
                  <c:pt idx="2">
                    <c:v>69.938791785888739</c:v>
                  </c:pt>
                  <c:pt idx="3">
                    <c:v>8.2951050054384563</c:v>
                  </c:pt>
                </c:numCache>
              </c:numRef>
            </c:plus>
            <c:minus>
              <c:numRef>
                <c:f>'Pore size analysis'!$U$37:$U$40</c:f>
                <c:numCache>
                  <c:formatCode>General</c:formatCode>
                  <c:ptCount val="4"/>
                  <c:pt idx="0">
                    <c:v>3.0192862834948277</c:v>
                  </c:pt>
                  <c:pt idx="1">
                    <c:v>3.331936650425698</c:v>
                  </c:pt>
                  <c:pt idx="2">
                    <c:v>69.938791785888739</c:v>
                  </c:pt>
                  <c:pt idx="3">
                    <c:v>8.2951050054384563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xVal>
            <c:numRef>
              <c:f>'Pore size analysis'!$L$37:$L$40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'Pore size analysis'!$P$37:$P$40</c:f>
              <c:numCache>
                <c:formatCode>General</c:formatCode>
                <c:ptCount val="4"/>
                <c:pt idx="0">
                  <c:v>308.54914000000002</c:v>
                </c:pt>
                <c:pt idx="1">
                  <c:v>311.43965500000002</c:v>
                </c:pt>
                <c:pt idx="2">
                  <c:v>339.95769999999999</c:v>
                </c:pt>
                <c:pt idx="3">
                  <c:v>349.13031999999998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'Pore size analysis'!$Q$36</c:f>
              <c:strCache>
                <c:ptCount val="1"/>
                <c:pt idx="0">
                  <c:v>100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'Pore size analysis'!$V$37:$V$40</c:f>
                <c:numCache>
                  <c:formatCode>General</c:formatCode>
                  <c:ptCount val="4"/>
                  <c:pt idx="0">
                    <c:v>7.9727491660311269</c:v>
                  </c:pt>
                  <c:pt idx="1">
                    <c:v>6.5573000989507886</c:v>
                  </c:pt>
                  <c:pt idx="2">
                    <c:v>4.3274921569426317</c:v>
                  </c:pt>
                  <c:pt idx="3">
                    <c:v>14.081188537538308</c:v>
                  </c:pt>
                </c:numCache>
              </c:numRef>
            </c:plus>
            <c:minus>
              <c:numRef>
                <c:f>'Pore size analysis'!$V$37:$V$40</c:f>
                <c:numCache>
                  <c:formatCode>General</c:formatCode>
                  <c:ptCount val="4"/>
                  <c:pt idx="0">
                    <c:v>7.9727491660311269</c:v>
                  </c:pt>
                  <c:pt idx="1">
                    <c:v>6.5573000989507886</c:v>
                  </c:pt>
                  <c:pt idx="2">
                    <c:v>4.3274921569426317</c:v>
                  </c:pt>
                  <c:pt idx="3">
                    <c:v>14.081188537538308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5"/>
                </a:solidFill>
                <a:round/>
              </a:ln>
              <a:effectLst/>
            </c:spPr>
          </c:errBars>
          <c:xVal>
            <c:numRef>
              <c:f>'Pore size analysis'!$L$37:$L$40</c:f>
              <c:numCache>
                <c:formatCode>0.00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'Pore size analysis'!$Q$37:$Q$40</c:f>
              <c:numCache>
                <c:formatCode>General</c:formatCode>
                <c:ptCount val="4"/>
                <c:pt idx="0">
                  <c:v>366.84899999999999</c:v>
                </c:pt>
                <c:pt idx="1">
                  <c:v>411.44693999999998</c:v>
                </c:pt>
                <c:pt idx="2">
                  <c:v>411.21114</c:v>
                </c:pt>
                <c:pt idx="3">
                  <c:v>419.52833000000004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73024"/>
        <c:axId val="436979688"/>
      </c:scatterChart>
      <c:valAx>
        <c:axId val="436973024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fibrinogen</a:t>
                </a:r>
              </a:p>
            </c:rich>
          </c:tx>
          <c:layout>
            <c:manualLayout>
              <c:xMode val="edge"/>
              <c:yMode val="edge"/>
              <c:x val="0.35344840451855586"/>
              <c:y val="0.925351312434851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79688"/>
        <c:crosses val="autoZero"/>
        <c:crossBetween val="midCat"/>
      </c:valAx>
      <c:valAx>
        <c:axId val="436979688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Trend in pore size</a:t>
                </a:r>
              </a:p>
            </c:rich>
          </c:tx>
          <c:layout>
            <c:manualLayout>
              <c:xMode val="edge"/>
              <c:yMode val="edge"/>
              <c:x val="1.6391495143382302E-2"/>
              <c:y val="0.322802003650455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4369730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409753780929522"/>
          <c:y val="2.371184537415847E-2"/>
          <c:w val="0.78211321578727877"/>
          <c:h val="5.5682201410385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48381452318461"/>
          <c:y val="0.1388888888888889"/>
          <c:w val="0.8160231846019248"/>
          <c:h val="0.71109580052493426"/>
        </c:manualLayout>
      </c:layout>
      <c:scatterChart>
        <c:scatterStyle val="lineMarker"/>
        <c:varyColors val="0"/>
        <c:ser>
          <c:idx val="0"/>
          <c:order val="0"/>
          <c:tx>
            <c:v>100% collagen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porosity'!$G$11:$G$15</c:f>
                <c:numCache>
                  <c:formatCode>General</c:formatCode>
                  <c:ptCount val="5"/>
                  <c:pt idx="0">
                    <c:v>2.5083664671122734</c:v>
                  </c:pt>
                  <c:pt idx="1">
                    <c:v>0.82425805020838883</c:v>
                  </c:pt>
                  <c:pt idx="2">
                    <c:v>0.92300884791714577</c:v>
                  </c:pt>
                  <c:pt idx="3">
                    <c:v>1.2338919455662787</c:v>
                  </c:pt>
                  <c:pt idx="4">
                    <c:v>4.6509693613267311</c:v>
                  </c:pt>
                </c:numCache>
              </c:numRef>
            </c:plus>
            <c:minus>
              <c:numRef>
                <c:f>'Percentage porosity'!$G$11:$G$15</c:f>
                <c:numCache>
                  <c:formatCode>General</c:formatCode>
                  <c:ptCount val="5"/>
                  <c:pt idx="0">
                    <c:v>2.5083664671122734</c:v>
                  </c:pt>
                  <c:pt idx="1">
                    <c:v>0.82425805020838883</c:v>
                  </c:pt>
                  <c:pt idx="2">
                    <c:v>0.92300884791714577</c:v>
                  </c:pt>
                  <c:pt idx="3">
                    <c:v>1.2338919455662787</c:v>
                  </c:pt>
                  <c:pt idx="4">
                    <c:v>4.6509693613267311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xVal>
            <c:numRef>
              <c:f>'Percentage porosity'!$B$11:$B$15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'Percentage porosity'!$C$11:$C$15</c:f>
              <c:numCache>
                <c:formatCode>General</c:formatCode>
                <c:ptCount val="5"/>
                <c:pt idx="0">
                  <c:v>88.077333333333328</c:v>
                </c:pt>
                <c:pt idx="1">
                  <c:v>87.343666666666664</c:v>
                </c:pt>
                <c:pt idx="2">
                  <c:v>92.293333333333337</c:v>
                </c:pt>
                <c:pt idx="3">
                  <c:v>83.641333333333321</c:v>
                </c:pt>
                <c:pt idx="4">
                  <c:v>83.899999999999991</c:v>
                </c:pt>
              </c:numCache>
            </c:numRef>
          </c:yVal>
          <c:smooth val="0"/>
        </c:ser>
        <c:ser>
          <c:idx val="1"/>
          <c:order val="1"/>
          <c:tx>
            <c:v>90:10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porosity'!$H$11:$H$15</c:f>
                <c:numCache>
                  <c:formatCode>General</c:formatCode>
                  <c:ptCount val="5"/>
                  <c:pt idx="0">
                    <c:v>0.29365966696160539</c:v>
                  </c:pt>
                  <c:pt idx="1">
                    <c:v>2.0213948154677754</c:v>
                  </c:pt>
                  <c:pt idx="2">
                    <c:v>0.31501322723551461</c:v>
                  </c:pt>
                  <c:pt idx="3">
                    <c:v>0.45820519420888006</c:v>
                  </c:pt>
                  <c:pt idx="4">
                    <c:v>0.51387644429376744</c:v>
                  </c:pt>
                </c:numCache>
              </c:numRef>
            </c:plus>
            <c:minus>
              <c:numRef>
                <c:f>'Percentage porosity'!$H$11:$H$15</c:f>
                <c:numCache>
                  <c:formatCode>General</c:formatCode>
                  <c:ptCount val="5"/>
                  <c:pt idx="0">
                    <c:v>0.29365966696160539</c:v>
                  </c:pt>
                  <c:pt idx="1">
                    <c:v>2.0213948154677754</c:v>
                  </c:pt>
                  <c:pt idx="2">
                    <c:v>0.31501322723551461</c:v>
                  </c:pt>
                  <c:pt idx="3">
                    <c:v>0.45820519420888006</c:v>
                  </c:pt>
                  <c:pt idx="4">
                    <c:v>0.51387644429376744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'Percentage porosity'!$B$11:$B$15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'Percentage porosity'!$D$11:$D$15</c:f>
              <c:numCache>
                <c:formatCode>General</c:formatCode>
                <c:ptCount val="5"/>
                <c:pt idx="0">
                  <c:v>91.732000000000014</c:v>
                </c:pt>
                <c:pt idx="1">
                  <c:v>86.084000000000003</c:v>
                </c:pt>
                <c:pt idx="2">
                  <c:v>91.161333333333346</c:v>
                </c:pt>
                <c:pt idx="3">
                  <c:v>85.123000000000005</c:v>
                </c:pt>
                <c:pt idx="4">
                  <c:v>91.790999999999997</c:v>
                </c:pt>
              </c:numCache>
            </c:numRef>
          </c:yVal>
          <c:smooth val="0"/>
        </c:ser>
        <c:ser>
          <c:idx val="2"/>
          <c:order val="2"/>
          <c:tx>
            <c:v>75:25</c:v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porosity'!$I$11:$I$15</c:f>
                <c:numCache>
                  <c:formatCode>General</c:formatCode>
                  <c:ptCount val="5"/>
                  <c:pt idx="0">
                    <c:v>0.28685245917254043</c:v>
                  </c:pt>
                  <c:pt idx="1">
                    <c:v>4.3426252812478925</c:v>
                  </c:pt>
                  <c:pt idx="2">
                    <c:v>0.24965242504997018</c:v>
                  </c:pt>
                  <c:pt idx="3">
                    <c:v>3.4047662181124867</c:v>
                  </c:pt>
                  <c:pt idx="4">
                    <c:v>0.35528908417418381</c:v>
                  </c:pt>
                </c:numCache>
                <c:extLst xmlns:c15="http://schemas.microsoft.com/office/drawing/2012/chart"/>
              </c:numRef>
            </c:plus>
            <c:minus>
              <c:numRef>
                <c:f>'Percentage porosity'!$I$11:$I$15</c:f>
                <c:numCache>
                  <c:formatCode>General</c:formatCode>
                  <c:ptCount val="5"/>
                  <c:pt idx="0">
                    <c:v>0.28685245917254043</c:v>
                  </c:pt>
                  <c:pt idx="1">
                    <c:v>4.3426252812478925</c:v>
                  </c:pt>
                  <c:pt idx="2">
                    <c:v>0.24965242504997018</c:v>
                  </c:pt>
                  <c:pt idx="3">
                    <c:v>3.4047662181124867</c:v>
                  </c:pt>
                  <c:pt idx="4">
                    <c:v>0.35528908417418381</c:v>
                  </c:pt>
                </c:numCache>
                <c:extLst xmlns:c15="http://schemas.microsoft.com/office/drawing/2012/chart"/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'Percentage porosity'!$B$11:$B$15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  <c:extLst xmlns:c15="http://schemas.microsoft.com/office/drawing/2012/chart"/>
            </c:numRef>
          </c:xVal>
          <c:yVal>
            <c:numRef>
              <c:f>'Percentage porosity'!$E$11:$E$15</c:f>
              <c:numCache>
                <c:formatCode>General</c:formatCode>
                <c:ptCount val="5"/>
                <c:pt idx="0">
                  <c:v>91.738333333333344</c:v>
                </c:pt>
                <c:pt idx="1">
                  <c:v>85.332666666666668</c:v>
                </c:pt>
                <c:pt idx="2">
                  <c:v>90.340666666666664</c:v>
                </c:pt>
                <c:pt idx="3">
                  <c:v>86.55</c:v>
                </c:pt>
                <c:pt idx="4">
                  <c:v>91.75333333333333</c:v>
                </c:pt>
              </c:numCache>
              <c:extLst xmlns:c15="http://schemas.microsoft.com/office/drawing/2012/chart"/>
            </c:numRef>
          </c:yVal>
          <c:smooth val="0"/>
        </c:ser>
        <c:ser>
          <c:idx val="3"/>
          <c:order val="3"/>
          <c:tx>
            <c:v>50:50</c:v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porosity'!$J$11:$J$15</c:f>
                <c:numCache>
                  <c:formatCode>General</c:formatCode>
                  <c:ptCount val="5"/>
                  <c:pt idx="0">
                    <c:v>2.484</c:v>
                  </c:pt>
                  <c:pt idx="1">
                    <c:v>2.0733683544737858</c:v>
                  </c:pt>
                  <c:pt idx="2">
                    <c:v>0.59326258941551235</c:v>
                  </c:pt>
                  <c:pt idx="3">
                    <c:v>1.4318876818149302</c:v>
                  </c:pt>
                  <c:pt idx="4">
                    <c:v>1.3012716856982618</c:v>
                  </c:pt>
                </c:numCache>
              </c:numRef>
            </c:plus>
            <c:minus>
              <c:numRef>
                <c:f>'Percentage porosity'!$J$11:$J$15</c:f>
                <c:numCache>
                  <c:formatCode>General</c:formatCode>
                  <c:ptCount val="5"/>
                  <c:pt idx="0">
                    <c:v>2.484</c:v>
                  </c:pt>
                  <c:pt idx="1">
                    <c:v>2.0733683544737858</c:v>
                  </c:pt>
                  <c:pt idx="2">
                    <c:v>0.59326258941551235</c:v>
                  </c:pt>
                  <c:pt idx="3">
                    <c:v>1.4318876818149302</c:v>
                  </c:pt>
                  <c:pt idx="4">
                    <c:v>1.3012716856982618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xVal>
            <c:numRef>
              <c:f>'Percentage porosity'!$B$11:$B$15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'Percentage porosity'!$F$11:$F$15</c:f>
              <c:numCache>
                <c:formatCode>General</c:formatCode>
                <c:ptCount val="5"/>
                <c:pt idx="0">
                  <c:v>80.968000000000004</c:v>
                </c:pt>
                <c:pt idx="1">
                  <c:v>80.927333333333323</c:v>
                </c:pt>
                <c:pt idx="2">
                  <c:v>89.650499999999994</c:v>
                </c:pt>
                <c:pt idx="3">
                  <c:v>87.556666666666672</c:v>
                </c:pt>
                <c:pt idx="4">
                  <c:v>92.132999999999996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73416"/>
        <c:axId val="436975376"/>
        <c:extLst/>
      </c:scatterChart>
      <c:valAx>
        <c:axId val="436973416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Percentage</a:t>
                </a:r>
                <a:r>
                  <a:rPr lang="en-GB" baseline="0"/>
                  <a:t> cross-linking concentration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30577318460192476"/>
              <c:y val="0.915717410323709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75376"/>
        <c:crosses val="autoZero"/>
        <c:crossBetween val="midCat"/>
      </c:valAx>
      <c:valAx>
        <c:axId val="4369753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Percentage porosity</a:t>
                </a:r>
              </a:p>
            </c:rich>
          </c:tx>
          <c:layout>
            <c:manualLayout>
              <c:xMode val="edge"/>
              <c:yMode val="edge"/>
              <c:x val="1.1111111111111112E-2"/>
              <c:y val="0.247827719451735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734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34330722897603"/>
          <c:y val="0.10590332458442693"/>
          <c:w val="0.8355161822687569"/>
          <c:h val="0.7116739574219888"/>
        </c:manualLayout>
      </c:layout>
      <c:barChart>
        <c:barDir val="col"/>
        <c:grouping val="clustered"/>
        <c:varyColors val="0"/>
        <c:ser>
          <c:idx val="0"/>
          <c:order val="0"/>
          <c:tx>
            <c:v>1%</c:v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'Percentage porosity'!$R$12:$R$15</c:f>
                <c:numCache>
                  <c:formatCode>General</c:formatCode>
                  <c:ptCount val="4"/>
                  <c:pt idx="0">
                    <c:v>2.5084</c:v>
                  </c:pt>
                  <c:pt idx="1">
                    <c:v>0.29370000000000002</c:v>
                  </c:pt>
                  <c:pt idx="2">
                    <c:v>0.28689999999999999</c:v>
                  </c:pt>
                  <c:pt idx="3">
                    <c:v>2.484</c:v>
                  </c:pt>
                </c:numCache>
              </c:numRef>
            </c:plus>
            <c:minus>
              <c:numRef>
                <c:f>'Percentage porosity'!$R$12:$R$15</c:f>
                <c:numCache>
                  <c:formatCode>General</c:formatCode>
                  <c:ptCount val="4"/>
                  <c:pt idx="0">
                    <c:v>2.5084</c:v>
                  </c:pt>
                  <c:pt idx="1">
                    <c:v>0.29370000000000002</c:v>
                  </c:pt>
                  <c:pt idx="2">
                    <c:v>0.28689999999999999</c:v>
                  </c:pt>
                  <c:pt idx="3">
                    <c:v>2.484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85000"/>
                  </a:schemeClr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porosity'!$M$12:$M$15</c:f>
              <c:numCache>
                <c:formatCode>General</c:formatCode>
                <c:ptCount val="4"/>
                <c:pt idx="0">
                  <c:v>88.076999999999998</c:v>
                </c:pt>
                <c:pt idx="1">
                  <c:v>91.73</c:v>
                </c:pt>
                <c:pt idx="2">
                  <c:v>91.73</c:v>
                </c:pt>
                <c:pt idx="3">
                  <c:v>80.968000000000004</c:v>
                </c:pt>
              </c:numCache>
            </c:numRef>
          </c:val>
        </c:ser>
        <c:ser>
          <c:idx val="1"/>
          <c:order val="1"/>
          <c:tx>
            <c:v>10%</c:v>
          </c:tx>
          <c:spPr>
            <a:solidFill>
              <a:schemeClr val="bg1">
                <a:lumMod val="65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'Percentage porosity'!$S$12:$S$15</c:f>
                <c:numCache>
                  <c:formatCode>General</c:formatCode>
                  <c:ptCount val="4"/>
                  <c:pt idx="0">
                    <c:v>0.82430000000000003</c:v>
                  </c:pt>
                  <c:pt idx="1">
                    <c:v>2.0213999999999999</c:v>
                  </c:pt>
                  <c:pt idx="2">
                    <c:v>4.3426</c:v>
                  </c:pt>
                  <c:pt idx="3">
                    <c:v>2.0733999999999999</c:v>
                  </c:pt>
                </c:numCache>
              </c:numRef>
            </c:plus>
            <c:minus>
              <c:numRef>
                <c:f>'Percentage porosity'!$S$12:$S$15</c:f>
                <c:numCache>
                  <c:formatCode>General</c:formatCode>
                  <c:ptCount val="4"/>
                  <c:pt idx="0">
                    <c:v>0.82430000000000003</c:v>
                  </c:pt>
                  <c:pt idx="1">
                    <c:v>2.0213999999999999</c:v>
                  </c:pt>
                  <c:pt idx="2">
                    <c:v>4.3426</c:v>
                  </c:pt>
                  <c:pt idx="3">
                    <c:v>2.0733999999999999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bg1">
                    <a:lumMod val="65000"/>
                  </a:schemeClr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porosity'!$N$12:$N$15</c:f>
              <c:numCache>
                <c:formatCode>General</c:formatCode>
                <c:ptCount val="4"/>
                <c:pt idx="0">
                  <c:v>87.343000000000004</c:v>
                </c:pt>
                <c:pt idx="1">
                  <c:v>86.084000000000003</c:v>
                </c:pt>
                <c:pt idx="2">
                  <c:v>85.332999999999998</c:v>
                </c:pt>
                <c:pt idx="3">
                  <c:v>80.927000000000007</c:v>
                </c:pt>
              </c:numCache>
            </c:numRef>
          </c:val>
        </c:ser>
        <c:ser>
          <c:idx val="2"/>
          <c:order val="2"/>
          <c:tx>
            <c:v>30%</c:v>
          </c:tx>
          <c:spPr>
            <a:solidFill>
              <a:schemeClr val="tx1">
                <a:lumMod val="50000"/>
                <a:lumOff val="50000"/>
              </a:schemeClr>
            </a:solidFill>
            <a:ln w="9525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'Percentage porosity'!$T$12:$T$15</c:f>
                <c:numCache>
                  <c:formatCode>General</c:formatCode>
                  <c:ptCount val="4"/>
                  <c:pt idx="0">
                    <c:v>0.92300000000000004</c:v>
                  </c:pt>
                  <c:pt idx="1">
                    <c:v>0.315</c:v>
                  </c:pt>
                  <c:pt idx="2">
                    <c:v>0.24970000000000001</c:v>
                  </c:pt>
                  <c:pt idx="3">
                    <c:v>0.59330000000000005</c:v>
                  </c:pt>
                </c:numCache>
              </c:numRef>
            </c:plus>
            <c:minus>
              <c:numRef>
                <c:f>'Percentage porosity'!$T$12:$T$15</c:f>
                <c:numCache>
                  <c:formatCode>General</c:formatCode>
                  <c:ptCount val="4"/>
                  <c:pt idx="0">
                    <c:v>0.92300000000000004</c:v>
                  </c:pt>
                  <c:pt idx="1">
                    <c:v>0.315</c:v>
                  </c:pt>
                  <c:pt idx="2">
                    <c:v>0.24970000000000001</c:v>
                  </c:pt>
                  <c:pt idx="3">
                    <c:v>0.59330000000000005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porosity'!$O$12:$O$15</c:f>
              <c:numCache>
                <c:formatCode>General</c:formatCode>
                <c:ptCount val="4"/>
                <c:pt idx="0">
                  <c:v>92.293000000000006</c:v>
                </c:pt>
                <c:pt idx="1">
                  <c:v>91.161000000000001</c:v>
                </c:pt>
                <c:pt idx="2">
                  <c:v>90.340999999999994</c:v>
                </c:pt>
                <c:pt idx="3">
                  <c:v>89.650999999999996</c:v>
                </c:pt>
              </c:numCache>
            </c:numRef>
          </c:val>
        </c:ser>
        <c:ser>
          <c:idx val="3"/>
          <c:order val="3"/>
          <c:tx>
            <c:v>50%</c:v>
          </c:tx>
          <c:spPr>
            <a:solidFill>
              <a:schemeClr val="tx1">
                <a:lumMod val="75000"/>
                <a:lumOff val="25000"/>
              </a:schemeClr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'Percentage porosity'!$U$12:$U$15</c:f>
                <c:numCache>
                  <c:formatCode>General</c:formatCode>
                  <c:ptCount val="4"/>
                  <c:pt idx="0">
                    <c:v>1.2339</c:v>
                  </c:pt>
                  <c:pt idx="1">
                    <c:v>0.4582</c:v>
                  </c:pt>
                  <c:pt idx="2">
                    <c:v>3.4047999999999998</c:v>
                  </c:pt>
                  <c:pt idx="3">
                    <c:v>1.4319</c:v>
                  </c:pt>
                </c:numCache>
              </c:numRef>
            </c:plus>
            <c:minus>
              <c:numRef>
                <c:f>'Percentage porosity'!$U$12:$U$15</c:f>
                <c:numCache>
                  <c:formatCode>General</c:formatCode>
                  <c:ptCount val="4"/>
                  <c:pt idx="0">
                    <c:v>1.2339</c:v>
                  </c:pt>
                  <c:pt idx="1">
                    <c:v>0.4582</c:v>
                  </c:pt>
                  <c:pt idx="2">
                    <c:v>3.4047999999999998</c:v>
                  </c:pt>
                  <c:pt idx="3">
                    <c:v>1.4319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porosity'!$P$12:$P$15</c:f>
              <c:numCache>
                <c:formatCode>General</c:formatCode>
                <c:ptCount val="4"/>
                <c:pt idx="0">
                  <c:v>83.641000000000005</c:v>
                </c:pt>
                <c:pt idx="1">
                  <c:v>85.123000000000005</c:v>
                </c:pt>
                <c:pt idx="2">
                  <c:v>86.55</c:v>
                </c:pt>
                <c:pt idx="3">
                  <c:v>87.557000000000002</c:v>
                </c:pt>
              </c:numCache>
            </c:numRef>
          </c:val>
        </c:ser>
        <c:ser>
          <c:idx val="4"/>
          <c:order val="4"/>
          <c:tx>
            <c:v>100%</c:v>
          </c:tx>
          <c:spPr>
            <a:solidFill>
              <a:schemeClr val="tx1"/>
            </a:solidFill>
            <a:ln w="12700"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'Percentage porosity'!$V$12:$V$15</c:f>
                <c:numCache>
                  <c:formatCode>General</c:formatCode>
                  <c:ptCount val="4"/>
                  <c:pt idx="0">
                    <c:v>4.6509999999999998</c:v>
                  </c:pt>
                  <c:pt idx="1">
                    <c:v>0.51390000000000002</c:v>
                  </c:pt>
                  <c:pt idx="2">
                    <c:v>0.3553</c:v>
                  </c:pt>
                  <c:pt idx="3">
                    <c:v>1.3012999999999999</c:v>
                  </c:pt>
                </c:numCache>
              </c:numRef>
            </c:plus>
            <c:minus>
              <c:numRef>
                <c:f>'Percentage porosity'!$V$12:$V$15</c:f>
                <c:numCache>
                  <c:formatCode>General</c:formatCode>
                  <c:ptCount val="4"/>
                  <c:pt idx="0">
                    <c:v>4.6509999999999998</c:v>
                  </c:pt>
                  <c:pt idx="1">
                    <c:v>0.51390000000000002</c:v>
                  </c:pt>
                  <c:pt idx="2">
                    <c:v>0.3553</c:v>
                  </c:pt>
                  <c:pt idx="3">
                    <c:v>1.3012999999999999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porosity'!$Q$12:$Q$15</c:f>
              <c:numCache>
                <c:formatCode>General</c:formatCode>
                <c:ptCount val="4"/>
                <c:pt idx="0">
                  <c:v>83.9</c:v>
                </c:pt>
                <c:pt idx="1">
                  <c:v>91.790999999999997</c:v>
                </c:pt>
                <c:pt idx="2">
                  <c:v>91.753</c:v>
                </c:pt>
                <c:pt idx="3">
                  <c:v>92.132999999999996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6981648"/>
        <c:axId val="436974200"/>
      </c:barChart>
      <c:catAx>
        <c:axId val="436981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Percentage fibrinogen</a:t>
                </a:r>
              </a:p>
            </c:rich>
          </c:tx>
          <c:layout>
            <c:manualLayout>
              <c:xMode val="edge"/>
              <c:yMode val="edge"/>
              <c:x val="0.41009148154727265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74200"/>
        <c:crosses val="autoZero"/>
        <c:auto val="1"/>
        <c:lblAlgn val="ctr"/>
        <c:lblOffset val="100"/>
        <c:noMultiLvlLbl val="1"/>
      </c:catAx>
      <c:valAx>
        <c:axId val="436974200"/>
        <c:scaling>
          <c:orientation val="minMax"/>
          <c:max val="100"/>
          <c:min val="7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Percentage porosity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34330722897603"/>
          <c:y val="0.10590332458442693"/>
          <c:w val="0.8355161822687569"/>
          <c:h val="0.7116739574219888"/>
        </c:manualLayout>
      </c:layout>
      <c:lineChart>
        <c:grouping val="standard"/>
        <c:varyColors val="0"/>
        <c:ser>
          <c:idx val="0"/>
          <c:order val="0"/>
          <c:tx>
            <c:v>1%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porosity'!$R$12:$R$15</c:f>
                <c:numCache>
                  <c:formatCode>General</c:formatCode>
                  <c:ptCount val="4"/>
                  <c:pt idx="0">
                    <c:v>2.5084</c:v>
                  </c:pt>
                  <c:pt idx="1">
                    <c:v>0.29370000000000002</c:v>
                  </c:pt>
                  <c:pt idx="2">
                    <c:v>0.28689999999999999</c:v>
                  </c:pt>
                  <c:pt idx="3">
                    <c:v>2.484</c:v>
                  </c:pt>
                </c:numCache>
              </c:numRef>
            </c:plus>
            <c:minus>
              <c:numRef>
                <c:f>'Percentage porosity'!$R$12:$R$15</c:f>
                <c:numCache>
                  <c:formatCode>General</c:formatCode>
                  <c:ptCount val="4"/>
                  <c:pt idx="0">
                    <c:v>2.5084</c:v>
                  </c:pt>
                  <c:pt idx="1">
                    <c:v>0.29370000000000002</c:v>
                  </c:pt>
                  <c:pt idx="2">
                    <c:v>0.28689999999999999</c:v>
                  </c:pt>
                  <c:pt idx="3">
                    <c:v>2.484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porosity'!$M$12:$M$15</c:f>
              <c:numCache>
                <c:formatCode>General</c:formatCode>
                <c:ptCount val="4"/>
                <c:pt idx="0">
                  <c:v>88.076999999999998</c:v>
                </c:pt>
                <c:pt idx="1">
                  <c:v>91.73</c:v>
                </c:pt>
                <c:pt idx="2">
                  <c:v>91.73</c:v>
                </c:pt>
                <c:pt idx="3">
                  <c:v>80.968000000000004</c:v>
                </c:pt>
              </c:numCache>
            </c:numRef>
          </c:val>
          <c:smooth val="0"/>
        </c:ser>
        <c:ser>
          <c:idx val="1"/>
          <c:order val="1"/>
          <c:tx>
            <c:v>10%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porosity'!$S$12:$S$15</c:f>
                <c:numCache>
                  <c:formatCode>General</c:formatCode>
                  <c:ptCount val="4"/>
                  <c:pt idx="0">
                    <c:v>0.82430000000000003</c:v>
                  </c:pt>
                  <c:pt idx="1">
                    <c:v>2.0213999999999999</c:v>
                  </c:pt>
                  <c:pt idx="2">
                    <c:v>4.3426</c:v>
                  </c:pt>
                  <c:pt idx="3">
                    <c:v>2.0733999999999999</c:v>
                  </c:pt>
                </c:numCache>
              </c:numRef>
            </c:plus>
            <c:minus>
              <c:numRef>
                <c:f>'Percentage porosity'!$S$12:$S$15</c:f>
                <c:numCache>
                  <c:formatCode>General</c:formatCode>
                  <c:ptCount val="4"/>
                  <c:pt idx="0">
                    <c:v>0.82430000000000003</c:v>
                  </c:pt>
                  <c:pt idx="1">
                    <c:v>2.0213999999999999</c:v>
                  </c:pt>
                  <c:pt idx="2">
                    <c:v>4.3426</c:v>
                  </c:pt>
                  <c:pt idx="3">
                    <c:v>2.0733999999999999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porosity'!$N$12:$N$15</c:f>
              <c:numCache>
                <c:formatCode>General</c:formatCode>
                <c:ptCount val="4"/>
                <c:pt idx="0">
                  <c:v>87.343000000000004</c:v>
                </c:pt>
                <c:pt idx="1">
                  <c:v>86.084000000000003</c:v>
                </c:pt>
                <c:pt idx="2">
                  <c:v>85.332999999999998</c:v>
                </c:pt>
                <c:pt idx="3">
                  <c:v>80.927000000000007</c:v>
                </c:pt>
              </c:numCache>
            </c:numRef>
          </c:val>
          <c:smooth val="0"/>
        </c:ser>
        <c:ser>
          <c:idx val="2"/>
          <c:order val="2"/>
          <c:tx>
            <c:v>30%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porosity'!$T$12:$T$15</c:f>
                <c:numCache>
                  <c:formatCode>General</c:formatCode>
                  <c:ptCount val="4"/>
                  <c:pt idx="0">
                    <c:v>0.92300000000000004</c:v>
                  </c:pt>
                  <c:pt idx="1">
                    <c:v>0.315</c:v>
                  </c:pt>
                  <c:pt idx="2">
                    <c:v>0.24970000000000001</c:v>
                  </c:pt>
                  <c:pt idx="3">
                    <c:v>0.59330000000000005</c:v>
                  </c:pt>
                </c:numCache>
              </c:numRef>
            </c:plus>
            <c:minus>
              <c:numRef>
                <c:f>'Percentage porosity'!$T$12:$T$15</c:f>
                <c:numCache>
                  <c:formatCode>General</c:formatCode>
                  <c:ptCount val="4"/>
                  <c:pt idx="0">
                    <c:v>0.92300000000000004</c:v>
                  </c:pt>
                  <c:pt idx="1">
                    <c:v>0.315</c:v>
                  </c:pt>
                  <c:pt idx="2">
                    <c:v>0.24970000000000001</c:v>
                  </c:pt>
                  <c:pt idx="3">
                    <c:v>0.59330000000000005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porosity'!$O$12:$O$15</c:f>
              <c:numCache>
                <c:formatCode>General</c:formatCode>
                <c:ptCount val="4"/>
                <c:pt idx="0">
                  <c:v>92.293000000000006</c:v>
                </c:pt>
                <c:pt idx="1">
                  <c:v>91.161000000000001</c:v>
                </c:pt>
                <c:pt idx="2">
                  <c:v>90.340999999999994</c:v>
                </c:pt>
                <c:pt idx="3">
                  <c:v>89.650999999999996</c:v>
                </c:pt>
              </c:numCache>
            </c:numRef>
          </c:val>
          <c:smooth val="0"/>
        </c:ser>
        <c:ser>
          <c:idx val="3"/>
          <c:order val="3"/>
          <c:tx>
            <c:v>50%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porosity'!$U$12:$U$15</c:f>
                <c:numCache>
                  <c:formatCode>General</c:formatCode>
                  <c:ptCount val="4"/>
                  <c:pt idx="0">
                    <c:v>1.2339</c:v>
                  </c:pt>
                  <c:pt idx="1">
                    <c:v>0.4582</c:v>
                  </c:pt>
                  <c:pt idx="2">
                    <c:v>3.4047999999999998</c:v>
                  </c:pt>
                  <c:pt idx="3">
                    <c:v>1.4319</c:v>
                  </c:pt>
                </c:numCache>
              </c:numRef>
            </c:plus>
            <c:minus>
              <c:numRef>
                <c:f>'Percentage porosity'!$U$12:$U$15</c:f>
                <c:numCache>
                  <c:formatCode>General</c:formatCode>
                  <c:ptCount val="4"/>
                  <c:pt idx="0">
                    <c:v>1.2339</c:v>
                  </c:pt>
                  <c:pt idx="1">
                    <c:v>0.4582</c:v>
                  </c:pt>
                  <c:pt idx="2">
                    <c:v>3.4047999999999998</c:v>
                  </c:pt>
                  <c:pt idx="3">
                    <c:v>1.4319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porosity'!$P$12:$P$15</c:f>
              <c:numCache>
                <c:formatCode>General</c:formatCode>
                <c:ptCount val="4"/>
                <c:pt idx="0">
                  <c:v>83.641000000000005</c:v>
                </c:pt>
                <c:pt idx="1">
                  <c:v>85.123000000000005</c:v>
                </c:pt>
                <c:pt idx="2">
                  <c:v>86.55</c:v>
                </c:pt>
                <c:pt idx="3">
                  <c:v>87.557000000000002</c:v>
                </c:pt>
              </c:numCache>
            </c:numRef>
          </c:val>
          <c:smooth val="0"/>
        </c:ser>
        <c:ser>
          <c:idx val="4"/>
          <c:order val="4"/>
          <c:tx>
            <c:v>100%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porosity'!$V$12:$V$15</c:f>
                <c:numCache>
                  <c:formatCode>General</c:formatCode>
                  <c:ptCount val="4"/>
                  <c:pt idx="0">
                    <c:v>4.6509999999999998</c:v>
                  </c:pt>
                  <c:pt idx="1">
                    <c:v>0.51390000000000002</c:v>
                  </c:pt>
                  <c:pt idx="2">
                    <c:v>0.3553</c:v>
                  </c:pt>
                  <c:pt idx="3">
                    <c:v>1.3012999999999999</c:v>
                  </c:pt>
                </c:numCache>
              </c:numRef>
            </c:plus>
            <c:minus>
              <c:numRef>
                <c:f>'Percentage porosity'!$V$12:$V$15</c:f>
                <c:numCache>
                  <c:formatCode>General</c:formatCode>
                  <c:ptCount val="4"/>
                  <c:pt idx="0">
                    <c:v>4.6509999999999998</c:v>
                  </c:pt>
                  <c:pt idx="1">
                    <c:v>0.51390000000000002</c:v>
                  </c:pt>
                  <c:pt idx="2">
                    <c:v>0.3553</c:v>
                  </c:pt>
                  <c:pt idx="3">
                    <c:v>1.3012999999999999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5"/>
                </a:solidFill>
                <a:round/>
              </a:ln>
              <a:effectLst/>
            </c:spPr>
          </c:errBars>
          <c:cat>
            <c:numRef>
              <c:f>'Percentage porosity'!$L$12:$L$15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cat>
          <c:val>
            <c:numRef>
              <c:f>'Percentage porosity'!$Q$12:$Q$15</c:f>
              <c:numCache>
                <c:formatCode>General</c:formatCode>
                <c:ptCount val="4"/>
                <c:pt idx="0">
                  <c:v>83.9</c:v>
                </c:pt>
                <c:pt idx="1">
                  <c:v>91.790999999999997</c:v>
                </c:pt>
                <c:pt idx="2">
                  <c:v>91.753</c:v>
                </c:pt>
                <c:pt idx="3">
                  <c:v>92.132999999999996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6982824"/>
        <c:axId val="436975768"/>
      </c:lineChart>
      <c:catAx>
        <c:axId val="436982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Percentage fibrinogen</a:t>
                </a:r>
              </a:p>
            </c:rich>
          </c:tx>
          <c:layout>
            <c:manualLayout>
              <c:xMode val="edge"/>
              <c:yMode val="edge"/>
              <c:x val="0.41009148154727265"/>
              <c:y val="0.90645815106445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75768"/>
        <c:crosses val="autoZero"/>
        <c:auto val="1"/>
        <c:lblAlgn val="ctr"/>
        <c:lblOffset val="100"/>
        <c:noMultiLvlLbl val="1"/>
      </c:catAx>
      <c:valAx>
        <c:axId val="436975768"/>
        <c:scaling>
          <c:orientation val="minMax"/>
          <c:max val="100"/>
          <c:min val="7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Percentage porosity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2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83541728161107"/>
          <c:y val="7.612500032576601E-2"/>
          <c:w val="0.82729677687395731"/>
          <c:h val="0.81109949936280168"/>
        </c:manualLayout>
      </c:layout>
      <c:scatterChart>
        <c:scatterStyle val="lineMarker"/>
        <c:varyColors val="0"/>
        <c:ser>
          <c:idx val="0"/>
          <c:order val="0"/>
          <c:tx>
            <c:v>1%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porosity'!$X$19:$X$22</c:f>
                <c:numCache>
                  <c:formatCode>General</c:formatCode>
                  <c:ptCount val="4"/>
                  <c:pt idx="0">
                    <c:v>2.5084</c:v>
                  </c:pt>
                  <c:pt idx="1">
                    <c:v>0.29370000000000002</c:v>
                  </c:pt>
                  <c:pt idx="2">
                    <c:v>0.28689999999999999</c:v>
                  </c:pt>
                  <c:pt idx="3">
                    <c:v>2.484</c:v>
                  </c:pt>
                </c:numCache>
              </c:numRef>
            </c:plus>
            <c:minus>
              <c:numRef>
                <c:f>'Percentage porosity'!$X$19:$X$22</c:f>
                <c:numCache>
                  <c:formatCode>General</c:formatCode>
                  <c:ptCount val="4"/>
                  <c:pt idx="0">
                    <c:v>2.5084</c:v>
                  </c:pt>
                  <c:pt idx="1">
                    <c:v>0.29370000000000002</c:v>
                  </c:pt>
                  <c:pt idx="2">
                    <c:v>0.28689999999999999</c:v>
                  </c:pt>
                  <c:pt idx="3">
                    <c:v>2.484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xVal>
            <c:numRef>
              <c:f>'Percentage porosity'!$R$19:$R$22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'Percentage porosity'!$S$19:$S$22</c:f>
              <c:numCache>
                <c:formatCode>General</c:formatCode>
                <c:ptCount val="4"/>
                <c:pt idx="0">
                  <c:v>88.076999999999998</c:v>
                </c:pt>
                <c:pt idx="1">
                  <c:v>91.73</c:v>
                </c:pt>
                <c:pt idx="2">
                  <c:v>91.73</c:v>
                </c:pt>
                <c:pt idx="3">
                  <c:v>80.968000000000004</c:v>
                </c:pt>
              </c:numCache>
            </c:numRef>
          </c:yVal>
          <c:smooth val="0"/>
        </c:ser>
        <c:ser>
          <c:idx val="1"/>
          <c:order val="1"/>
          <c:tx>
            <c:v>10%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porosity'!$Y$19:$Y$22</c:f>
                <c:numCache>
                  <c:formatCode>General</c:formatCode>
                  <c:ptCount val="4"/>
                  <c:pt idx="0">
                    <c:v>0.82430000000000003</c:v>
                  </c:pt>
                  <c:pt idx="1">
                    <c:v>2.0213999999999999</c:v>
                  </c:pt>
                  <c:pt idx="2">
                    <c:v>4.3426</c:v>
                  </c:pt>
                  <c:pt idx="3">
                    <c:v>2.0733999999999999</c:v>
                  </c:pt>
                </c:numCache>
              </c:numRef>
            </c:plus>
            <c:minus>
              <c:numRef>
                <c:f>'Percentage porosity'!$Y$19:$Y$22</c:f>
                <c:numCache>
                  <c:formatCode>General</c:formatCode>
                  <c:ptCount val="4"/>
                  <c:pt idx="0">
                    <c:v>0.82430000000000003</c:v>
                  </c:pt>
                  <c:pt idx="1">
                    <c:v>2.0213999999999999</c:v>
                  </c:pt>
                  <c:pt idx="2">
                    <c:v>4.3426</c:v>
                  </c:pt>
                  <c:pt idx="3">
                    <c:v>2.0733999999999999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'Percentage porosity'!$R$19:$R$22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'Percentage porosity'!$T$19:$T$22</c:f>
              <c:numCache>
                <c:formatCode>General</c:formatCode>
                <c:ptCount val="4"/>
                <c:pt idx="0">
                  <c:v>107.343</c:v>
                </c:pt>
                <c:pt idx="1">
                  <c:v>106.084</c:v>
                </c:pt>
                <c:pt idx="2">
                  <c:v>105.333</c:v>
                </c:pt>
                <c:pt idx="3">
                  <c:v>100.92700000000001</c:v>
                </c:pt>
              </c:numCache>
            </c:numRef>
          </c:yVal>
          <c:smooth val="0"/>
        </c:ser>
        <c:ser>
          <c:idx val="2"/>
          <c:order val="2"/>
          <c:tx>
            <c:v>30%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porosity'!$Z$19:$Z$22</c:f>
                <c:numCache>
                  <c:formatCode>General</c:formatCode>
                  <c:ptCount val="4"/>
                  <c:pt idx="0">
                    <c:v>0.92300000000000004</c:v>
                  </c:pt>
                  <c:pt idx="1">
                    <c:v>0.315</c:v>
                  </c:pt>
                  <c:pt idx="2">
                    <c:v>0.24970000000000001</c:v>
                  </c:pt>
                  <c:pt idx="3">
                    <c:v>0.59330000000000005</c:v>
                  </c:pt>
                </c:numCache>
              </c:numRef>
            </c:plus>
            <c:minus>
              <c:numRef>
                <c:f>'Percentage porosity'!$Z$19:$Z$22</c:f>
                <c:numCache>
                  <c:formatCode>General</c:formatCode>
                  <c:ptCount val="4"/>
                  <c:pt idx="0">
                    <c:v>0.92300000000000004</c:v>
                  </c:pt>
                  <c:pt idx="1">
                    <c:v>0.315</c:v>
                  </c:pt>
                  <c:pt idx="2">
                    <c:v>0.24970000000000001</c:v>
                  </c:pt>
                  <c:pt idx="3">
                    <c:v>0.59330000000000005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'Percentage porosity'!$R$19:$R$22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'Percentage porosity'!$U$19:$U$22</c:f>
              <c:numCache>
                <c:formatCode>General</c:formatCode>
                <c:ptCount val="4"/>
                <c:pt idx="0">
                  <c:v>132.29300000000001</c:v>
                </c:pt>
                <c:pt idx="1">
                  <c:v>131.161</c:v>
                </c:pt>
                <c:pt idx="2">
                  <c:v>130.34100000000001</c:v>
                </c:pt>
                <c:pt idx="3">
                  <c:v>129.65100000000001</c:v>
                </c:pt>
              </c:numCache>
            </c:numRef>
          </c:yVal>
          <c:smooth val="0"/>
        </c:ser>
        <c:ser>
          <c:idx val="3"/>
          <c:order val="3"/>
          <c:tx>
            <c:v>50%</c:v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porosity'!$AA$19:$AA$22</c:f>
                <c:numCache>
                  <c:formatCode>General</c:formatCode>
                  <c:ptCount val="4"/>
                  <c:pt idx="0">
                    <c:v>1.2339</c:v>
                  </c:pt>
                  <c:pt idx="1">
                    <c:v>0.4582</c:v>
                  </c:pt>
                  <c:pt idx="2">
                    <c:v>3.4047999999999998</c:v>
                  </c:pt>
                  <c:pt idx="3">
                    <c:v>1.4319</c:v>
                  </c:pt>
                </c:numCache>
              </c:numRef>
            </c:plus>
            <c:minus>
              <c:numRef>
                <c:f>'Percentage porosity'!$AA$19:$AA$22</c:f>
                <c:numCache>
                  <c:formatCode>General</c:formatCode>
                  <c:ptCount val="4"/>
                  <c:pt idx="0">
                    <c:v>1.2339</c:v>
                  </c:pt>
                  <c:pt idx="1">
                    <c:v>0.4582</c:v>
                  </c:pt>
                  <c:pt idx="2">
                    <c:v>3.4047999999999998</c:v>
                  </c:pt>
                  <c:pt idx="3">
                    <c:v>1.4319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xVal>
            <c:numRef>
              <c:f>'Percentage porosity'!$R$19:$R$22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'Percentage porosity'!$V$19:$V$22</c:f>
              <c:numCache>
                <c:formatCode>General</c:formatCode>
                <c:ptCount val="4"/>
                <c:pt idx="0">
                  <c:v>143.64100000000002</c:v>
                </c:pt>
                <c:pt idx="1">
                  <c:v>145.12299999999999</c:v>
                </c:pt>
                <c:pt idx="2">
                  <c:v>146.55000000000001</c:v>
                </c:pt>
                <c:pt idx="3">
                  <c:v>147.55700000000002</c:v>
                </c:pt>
              </c:numCache>
            </c:numRef>
          </c:yVal>
          <c:smooth val="0"/>
        </c:ser>
        <c:ser>
          <c:idx val="4"/>
          <c:order val="4"/>
          <c:tx>
            <c:v>100%</c:v>
          </c:tx>
          <c:spPr>
            <a:ln w="254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porosity'!$AB$19:$AB$22</c:f>
                <c:numCache>
                  <c:formatCode>General</c:formatCode>
                  <c:ptCount val="4"/>
                  <c:pt idx="0">
                    <c:v>4.6509999999999998</c:v>
                  </c:pt>
                  <c:pt idx="1">
                    <c:v>0.51390000000000002</c:v>
                  </c:pt>
                  <c:pt idx="2">
                    <c:v>0.3553</c:v>
                  </c:pt>
                  <c:pt idx="3">
                    <c:v>1.3012999999999999</c:v>
                  </c:pt>
                </c:numCache>
              </c:numRef>
            </c:plus>
            <c:minus>
              <c:numRef>
                <c:f>'Percentage porosity'!$AB$19:$AB$22</c:f>
                <c:numCache>
                  <c:formatCode>General</c:formatCode>
                  <c:ptCount val="4"/>
                  <c:pt idx="0">
                    <c:v>4.6509999999999998</c:v>
                  </c:pt>
                  <c:pt idx="1">
                    <c:v>0.51390000000000002</c:v>
                  </c:pt>
                  <c:pt idx="2">
                    <c:v>0.3553</c:v>
                  </c:pt>
                  <c:pt idx="3">
                    <c:v>1.3012999999999999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5"/>
                </a:solidFill>
                <a:round/>
              </a:ln>
              <a:effectLst/>
            </c:spPr>
          </c:errBars>
          <c:xVal>
            <c:numRef>
              <c:f>'Percentage porosity'!$R$19:$R$22</c:f>
              <c:numCache>
                <c:formatCode>0</c:formatCode>
                <c:ptCount val="4"/>
                <c:pt idx="0">
                  <c:v>0</c:v>
                </c:pt>
                <c:pt idx="1">
                  <c:v>10</c:v>
                </c:pt>
                <c:pt idx="2">
                  <c:v>25</c:v>
                </c:pt>
                <c:pt idx="3">
                  <c:v>50</c:v>
                </c:pt>
              </c:numCache>
            </c:numRef>
          </c:xVal>
          <c:yVal>
            <c:numRef>
              <c:f>'Percentage porosity'!$W$19:$W$22</c:f>
              <c:numCache>
                <c:formatCode>General</c:formatCode>
                <c:ptCount val="4"/>
                <c:pt idx="0">
                  <c:v>163.9</c:v>
                </c:pt>
                <c:pt idx="1">
                  <c:v>171.791</c:v>
                </c:pt>
                <c:pt idx="2">
                  <c:v>171.75299999999999</c:v>
                </c:pt>
                <c:pt idx="3">
                  <c:v>172.13299999999998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3216"/>
        <c:axId val="436980080"/>
      </c:scatterChart>
      <c:valAx>
        <c:axId val="436983216"/>
        <c:scaling>
          <c:orientation val="minMax"/>
          <c:max val="5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fibrinogen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0080"/>
        <c:crosses val="autoZero"/>
        <c:crossBetween val="midCat"/>
      </c:valAx>
      <c:valAx>
        <c:axId val="436980080"/>
        <c:scaling>
          <c:orientation val="minMax"/>
          <c:min val="60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Trend in percentage porosity</a:t>
                </a:r>
              </a:p>
            </c:rich>
          </c:tx>
          <c:layout>
            <c:manualLayout>
              <c:xMode val="edge"/>
              <c:yMode val="edge"/>
              <c:x val="2.0855213016742213E-2"/>
              <c:y val="0.2772294773931422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4369832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8248539632338034E-2"/>
          <c:y val="2.0717675542270133E-2"/>
          <c:w val="0.89999981457009315"/>
          <c:h val="5.6749416191777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303880317905563"/>
          <c:y val="3.7006828382356562E-2"/>
          <c:w val="0.81416271142360885"/>
          <c:h val="0.8476717353924353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'Percentage porosity'!$C$50</c:f>
              <c:strCache>
                <c:ptCount val="1"/>
                <c:pt idx="0">
                  <c:v>100%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porosity'!$G$51:$G$55</c:f>
                <c:numCache>
                  <c:formatCode>General</c:formatCode>
                  <c:ptCount val="5"/>
                  <c:pt idx="0">
                    <c:v>2.5083664671122734</c:v>
                  </c:pt>
                  <c:pt idx="1">
                    <c:v>0.82425805020838883</c:v>
                  </c:pt>
                  <c:pt idx="2">
                    <c:v>0.92300884791714577</c:v>
                  </c:pt>
                  <c:pt idx="3">
                    <c:v>1.2338919455662787</c:v>
                  </c:pt>
                  <c:pt idx="4">
                    <c:v>4.6509693613267311</c:v>
                  </c:pt>
                </c:numCache>
              </c:numRef>
            </c:plus>
            <c:minus>
              <c:numRef>
                <c:f>'Percentage porosity'!$G$51:$G$55</c:f>
                <c:numCache>
                  <c:formatCode>General</c:formatCode>
                  <c:ptCount val="5"/>
                  <c:pt idx="0">
                    <c:v>2.5083664671122734</c:v>
                  </c:pt>
                  <c:pt idx="1">
                    <c:v>0.82425805020838883</c:v>
                  </c:pt>
                  <c:pt idx="2">
                    <c:v>0.92300884791714577</c:v>
                  </c:pt>
                  <c:pt idx="3">
                    <c:v>1.2338919455662787</c:v>
                  </c:pt>
                  <c:pt idx="4">
                    <c:v>4.6509693613267311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errBars>
          <c:xVal>
            <c:numRef>
              <c:f>'Percentage porosity'!$B$51:$B$55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'Percentage porosity'!$C$51:$C$55</c:f>
              <c:numCache>
                <c:formatCode>General</c:formatCode>
                <c:ptCount val="5"/>
                <c:pt idx="0">
                  <c:v>88.077333333333328</c:v>
                </c:pt>
                <c:pt idx="1">
                  <c:v>87.343666666666664</c:v>
                </c:pt>
                <c:pt idx="2">
                  <c:v>92.293333333333337</c:v>
                </c:pt>
                <c:pt idx="3">
                  <c:v>83.641333333333321</c:v>
                </c:pt>
                <c:pt idx="4">
                  <c:v>83.899999999999991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'Percentage porosity'!$D$50</c:f>
              <c:strCache>
                <c:ptCount val="1"/>
                <c:pt idx="0">
                  <c:v>90:10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porosity'!$H$51:$H$55</c:f>
                <c:numCache>
                  <c:formatCode>General</c:formatCode>
                  <c:ptCount val="5"/>
                  <c:pt idx="0">
                    <c:v>0.29365966696160539</c:v>
                  </c:pt>
                  <c:pt idx="1">
                    <c:v>2.0213948154677754</c:v>
                  </c:pt>
                  <c:pt idx="2">
                    <c:v>0.31501322723551461</c:v>
                  </c:pt>
                  <c:pt idx="3">
                    <c:v>0.45820519420888006</c:v>
                  </c:pt>
                  <c:pt idx="4">
                    <c:v>0.51387644429376744</c:v>
                  </c:pt>
                </c:numCache>
              </c:numRef>
            </c:plus>
            <c:minus>
              <c:numRef>
                <c:f>'Percentage porosity'!$H$51:$H$55</c:f>
                <c:numCache>
                  <c:formatCode>General</c:formatCode>
                  <c:ptCount val="5"/>
                  <c:pt idx="0">
                    <c:v>0.29365966696160539</c:v>
                  </c:pt>
                  <c:pt idx="1">
                    <c:v>2.0213948154677754</c:v>
                  </c:pt>
                  <c:pt idx="2">
                    <c:v>0.31501322723551461</c:v>
                  </c:pt>
                  <c:pt idx="3">
                    <c:v>0.45820519420888006</c:v>
                  </c:pt>
                  <c:pt idx="4">
                    <c:v>0.51387644429376744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errBars>
          <c:xVal>
            <c:numRef>
              <c:f>'Percentage porosity'!$B$51:$B$55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'Percentage porosity'!$D$51:$D$55</c:f>
              <c:numCache>
                <c:formatCode>General</c:formatCode>
                <c:ptCount val="5"/>
                <c:pt idx="0">
                  <c:v>111.73200000000001</c:v>
                </c:pt>
                <c:pt idx="1">
                  <c:v>106.084</c:v>
                </c:pt>
                <c:pt idx="2">
                  <c:v>111.16133333333335</c:v>
                </c:pt>
                <c:pt idx="3">
                  <c:v>105.123</c:v>
                </c:pt>
                <c:pt idx="4">
                  <c:v>111.791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'Percentage porosity'!$E$50</c:f>
              <c:strCache>
                <c:ptCount val="1"/>
                <c:pt idx="0">
                  <c:v>75:25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porosity'!$I$51:$I$55</c:f>
                <c:numCache>
                  <c:formatCode>General</c:formatCode>
                  <c:ptCount val="5"/>
                  <c:pt idx="0">
                    <c:v>0.28685245917254043</c:v>
                  </c:pt>
                  <c:pt idx="1">
                    <c:v>4.3426252812478925</c:v>
                  </c:pt>
                  <c:pt idx="2">
                    <c:v>0.24965242504997018</c:v>
                  </c:pt>
                  <c:pt idx="3">
                    <c:v>3.4047662181124867</c:v>
                  </c:pt>
                  <c:pt idx="4">
                    <c:v>0.35528908417418381</c:v>
                  </c:pt>
                </c:numCache>
              </c:numRef>
            </c:plus>
            <c:minus>
              <c:numRef>
                <c:f>'Percentage porosity'!$I$51:$I$55</c:f>
                <c:numCache>
                  <c:formatCode>General</c:formatCode>
                  <c:ptCount val="5"/>
                  <c:pt idx="0">
                    <c:v>0.28685245917254043</c:v>
                  </c:pt>
                  <c:pt idx="1">
                    <c:v>4.3426252812478925</c:v>
                  </c:pt>
                  <c:pt idx="2">
                    <c:v>0.24965242504997018</c:v>
                  </c:pt>
                  <c:pt idx="3">
                    <c:v>3.4047662181124867</c:v>
                  </c:pt>
                  <c:pt idx="4">
                    <c:v>0.35528908417418381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3"/>
                </a:solidFill>
                <a:round/>
              </a:ln>
              <a:effectLst/>
            </c:spPr>
          </c:errBars>
          <c:xVal>
            <c:numRef>
              <c:f>'Percentage porosity'!$B$51:$B$55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'Percentage porosity'!$E$51:$E$55</c:f>
              <c:numCache>
                <c:formatCode>General</c:formatCode>
                <c:ptCount val="5"/>
                <c:pt idx="0">
                  <c:v>131.73833333333334</c:v>
                </c:pt>
                <c:pt idx="1">
                  <c:v>125.33266666666667</c:v>
                </c:pt>
                <c:pt idx="2">
                  <c:v>130.34066666666666</c:v>
                </c:pt>
                <c:pt idx="3">
                  <c:v>126.55</c:v>
                </c:pt>
                <c:pt idx="4">
                  <c:v>131.75333333333333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'Percentage porosity'!$F$50</c:f>
              <c:strCache>
                <c:ptCount val="1"/>
                <c:pt idx="0">
                  <c:v>50:50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'Percentage porosity'!$J$51:$J$55</c:f>
                <c:numCache>
                  <c:formatCode>General</c:formatCode>
                  <c:ptCount val="5"/>
                  <c:pt idx="0">
                    <c:v>2.484</c:v>
                  </c:pt>
                  <c:pt idx="1">
                    <c:v>2.0733683544737858</c:v>
                  </c:pt>
                  <c:pt idx="2">
                    <c:v>0.59326258941551235</c:v>
                  </c:pt>
                  <c:pt idx="3">
                    <c:v>1.4318876818149302</c:v>
                  </c:pt>
                  <c:pt idx="4">
                    <c:v>1.3012716856982618</c:v>
                  </c:pt>
                </c:numCache>
              </c:numRef>
            </c:plus>
            <c:minus>
              <c:numRef>
                <c:f>'Percentage porosity'!$J$51:$J$55</c:f>
                <c:numCache>
                  <c:formatCode>General</c:formatCode>
                  <c:ptCount val="5"/>
                  <c:pt idx="0">
                    <c:v>2.484</c:v>
                  </c:pt>
                  <c:pt idx="1">
                    <c:v>2.0733683544737858</c:v>
                  </c:pt>
                  <c:pt idx="2">
                    <c:v>0.59326258941551235</c:v>
                  </c:pt>
                  <c:pt idx="3">
                    <c:v>1.4318876818149302</c:v>
                  </c:pt>
                  <c:pt idx="4">
                    <c:v>1.3012716856982618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errBars>
          <c:xVal>
            <c:numRef>
              <c:f>'Percentage porosity'!$B$51:$B$55</c:f>
              <c:numCache>
                <c:formatCode>0%</c:formatCode>
                <c:ptCount val="5"/>
                <c:pt idx="0">
                  <c:v>0.01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1</c:v>
                </c:pt>
              </c:numCache>
            </c:numRef>
          </c:xVal>
          <c:yVal>
            <c:numRef>
              <c:f>'Percentage porosity'!$F$51:$F$55</c:f>
              <c:numCache>
                <c:formatCode>General</c:formatCode>
                <c:ptCount val="5"/>
                <c:pt idx="0">
                  <c:v>140.96800000000002</c:v>
                </c:pt>
                <c:pt idx="1">
                  <c:v>140.92733333333331</c:v>
                </c:pt>
                <c:pt idx="2">
                  <c:v>149.65049999999999</c:v>
                </c:pt>
                <c:pt idx="3">
                  <c:v>147.55666666666667</c:v>
                </c:pt>
                <c:pt idx="4">
                  <c:v>152.13299999999998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982432"/>
        <c:axId val="436980472"/>
      </c:scatterChart>
      <c:valAx>
        <c:axId val="436982432"/>
        <c:scaling>
          <c:orientation val="minMax"/>
          <c:max val="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Cross-linking concentration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980472"/>
        <c:crosses val="autoZero"/>
        <c:crossBetween val="midCat"/>
      </c:valAx>
      <c:valAx>
        <c:axId val="436980472"/>
        <c:scaling>
          <c:orientation val="minMax"/>
          <c:min val="80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Trend in percentage porosity</a:t>
                </a:r>
              </a:p>
            </c:rich>
          </c:tx>
          <c:layout>
            <c:manualLayout>
              <c:xMode val="edge"/>
              <c:yMode val="edge"/>
              <c:x val="2.3592134716662178E-2"/>
              <c:y val="0.197522158401410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4369824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6314301725445756E-2"/>
          <c:y val="3.1514082594896575E-2"/>
          <c:w val="0.84018681750771695"/>
          <c:h val="5.67722363488644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'1_9010'!$F$9:$F$13</c:f>
              <c:numCache>
                <c:formatCode>General</c:formatCode>
                <c:ptCount val="5"/>
                <c:pt idx="0">
                  <c:v>2.9228433890545022E-3</c:v>
                </c:pt>
                <c:pt idx="1">
                  <c:v>2.982226179283419E-3</c:v>
                </c:pt>
                <c:pt idx="2">
                  <c:v>2.982226179283419E-3</c:v>
                </c:pt>
                <c:pt idx="3">
                  <c:v>6.5557158127675817E-3</c:v>
                </c:pt>
                <c:pt idx="4">
                  <c:v>7.8108089666342031E-3</c:v>
                </c:pt>
              </c:numCache>
            </c:numRef>
          </c:xVal>
          <c:yVal>
            <c:numRef>
              <c:f>'1_9010'!$G$9:$G$13</c:f>
              <c:numCache>
                <c:formatCode>General</c:formatCode>
                <c:ptCount val="5"/>
                <c:pt idx="0">
                  <c:v>143.64000000000001</c:v>
                </c:pt>
                <c:pt idx="1">
                  <c:v>151.62</c:v>
                </c:pt>
                <c:pt idx="2">
                  <c:v>159.60000000000002</c:v>
                </c:pt>
                <c:pt idx="3">
                  <c:v>199.5</c:v>
                </c:pt>
                <c:pt idx="4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975560"/>
        <c:axId val="422214032"/>
      </c:scatterChart>
      <c:valAx>
        <c:axId val="421975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4032"/>
        <c:crosses val="autoZero"/>
        <c:crossBetween val="midCat"/>
      </c:valAx>
      <c:valAx>
        <c:axId val="4222140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55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9696281714785649"/>
                  <c:y val="2.6363371245261011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'1_9010'!$F$25:$F$29</c:f>
              <c:numCache>
                <c:formatCode>General</c:formatCode>
                <c:ptCount val="5"/>
                <c:pt idx="0">
                  <c:v>4.1591547908172469E-4</c:v>
                </c:pt>
                <c:pt idx="1">
                  <c:v>6.9799069762664298E-4</c:v>
                </c:pt>
                <c:pt idx="2">
                  <c:v>8.3319114674541535E-4</c:v>
                </c:pt>
                <c:pt idx="3">
                  <c:v>2.8105159241990389E-3</c:v>
                </c:pt>
                <c:pt idx="4">
                  <c:v>3.1747788941022567E-3</c:v>
                </c:pt>
              </c:numCache>
            </c:numRef>
          </c:xVal>
          <c:yVal>
            <c:numRef>
              <c:f>'1_9010'!$G$25:$G$29</c:f>
              <c:numCache>
                <c:formatCode>General</c:formatCode>
                <c:ptCount val="5"/>
                <c:pt idx="0">
                  <c:v>143.64000000000001</c:v>
                </c:pt>
                <c:pt idx="1">
                  <c:v>151.62</c:v>
                </c:pt>
                <c:pt idx="2">
                  <c:v>159.60000000000002</c:v>
                </c:pt>
                <c:pt idx="3">
                  <c:v>199.5</c:v>
                </c:pt>
                <c:pt idx="4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19520"/>
        <c:axId val="422218344"/>
      </c:scatterChart>
      <c:valAx>
        <c:axId val="42221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8344"/>
        <c:crosses val="autoZero"/>
        <c:crossBetween val="midCat"/>
      </c:valAx>
      <c:valAx>
        <c:axId val="4222183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9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3800984251968504"/>
                  <c:y val="-8.166265675123943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'1_9010'!$F$43:$F$45</c:f>
              <c:numCache>
                <c:formatCode>General</c:formatCode>
                <c:ptCount val="3"/>
                <c:pt idx="0">
                  <c:v>1.0971955913557515E-3</c:v>
                </c:pt>
                <c:pt idx="1">
                  <c:v>5.8396750879134646E-3</c:v>
                </c:pt>
                <c:pt idx="2">
                  <c:v>1.2382254315690646E-2</c:v>
                </c:pt>
              </c:numCache>
            </c:numRef>
          </c:xVal>
          <c:yVal>
            <c:numRef>
              <c:f>'1_9010'!$G$43:$G$45</c:f>
              <c:numCache>
                <c:formatCode>General</c:formatCode>
                <c:ptCount val="3"/>
                <c:pt idx="0">
                  <c:v>159.60000000000002</c:v>
                </c:pt>
                <c:pt idx="1">
                  <c:v>199.5</c:v>
                </c:pt>
                <c:pt idx="2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14424"/>
        <c:axId val="422214816"/>
      </c:scatterChart>
      <c:valAx>
        <c:axId val="422214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4816"/>
        <c:crosses val="autoZero"/>
        <c:crossBetween val="midCat"/>
      </c:valAx>
      <c:valAx>
        <c:axId val="422214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4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3419969378827645"/>
                  <c:y val="-4.215551181102362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'1_9010'!$F$59:$F$61</c:f>
              <c:numCache>
                <c:formatCode>General</c:formatCode>
                <c:ptCount val="3"/>
                <c:pt idx="0">
                  <c:v>1.135344794377486E-3</c:v>
                </c:pt>
                <c:pt idx="1">
                  <c:v>2.8656453041757948E-3</c:v>
                </c:pt>
                <c:pt idx="2">
                  <c:v>1.0831082234429018E-2</c:v>
                </c:pt>
              </c:numCache>
            </c:numRef>
          </c:xVal>
          <c:yVal>
            <c:numRef>
              <c:f>'1_9010'!$G$59:$G$61</c:f>
              <c:numCache>
                <c:formatCode>General</c:formatCode>
                <c:ptCount val="3"/>
                <c:pt idx="0">
                  <c:v>159.60000000000002</c:v>
                </c:pt>
                <c:pt idx="1">
                  <c:v>199.5</c:v>
                </c:pt>
                <c:pt idx="2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19912"/>
        <c:axId val="422220304"/>
      </c:scatterChart>
      <c:valAx>
        <c:axId val="422219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20304"/>
        <c:crosses val="autoZero"/>
        <c:crossBetween val="midCat"/>
      </c:valAx>
      <c:valAx>
        <c:axId val="422220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9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702887139107611"/>
                  <c:y val="3.1503353747448235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'1_9010'!$F$73:$F$77</c:f>
              <c:numCache>
                <c:formatCode>General</c:formatCode>
                <c:ptCount val="5"/>
                <c:pt idx="0">
                  <c:v>2.5623629055451943E-3</c:v>
                </c:pt>
                <c:pt idx="1">
                  <c:v>4.026277718217495E-3</c:v>
                </c:pt>
                <c:pt idx="2">
                  <c:v>4.1353894490911668E-3</c:v>
                </c:pt>
                <c:pt idx="3">
                  <c:v>6.8323192270269553E-3</c:v>
                </c:pt>
                <c:pt idx="4">
                  <c:v>7.1317091416131561E-3</c:v>
                </c:pt>
              </c:numCache>
            </c:numRef>
          </c:xVal>
          <c:yVal>
            <c:numRef>
              <c:f>'1_9010'!$G$73:$G$77</c:f>
              <c:numCache>
                <c:formatCode>General</c:formatCode>
                <c:ptCount val="5"/>
                <c:pt idx="0">
                  <c:v>143.64000000000001</c:v>
                </c:pt>
                <c:pt idx="1">
                  <c:v>151.62</c:v>
                </c:pt>
                <c:pt idx="2">
                  <c:v>159.60000000000002</c:v>
                </c:pt>
                <c:pt idx="3">
                  <c:v>199.5</c:v>
                </c:pt>
                <c:pt idx="4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15600"/>
        <c:axId val="422217560"/>
      </c:scatterChart>
      <c:valAx>
        <c:axId val="42221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7560"/>
        <c:crosses val="autoZero"/>
        <c:crossBetween val="midCat"/>
      </c:valAx>
      <c:valAx>
        <c:axId val="422217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5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1640726159230098"/>
                  <c:y val="-9.63327500729075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'1_9010'!$F$88:$F$92</c:f>
              <c:numCache>
                <c:formatCode>General</c:formatCode>
                <c:ptCount val="5"/>
                <c:pt idx="0">
                  <c:v>4.1591547908172469E-4</c:v>
                </c:pt>
                <c:pt idx="1">
                  <c:v>8.3319114674541535E-4</c:v>
                </c:pt>
                <c:pt idx="2">
                  <c:v>8.3319114674541535E-4</c:v>
                </c:pt>
                <c:pt idx="3">
                  <c:v>2.8105159241990389E-3</c:v>
                </c:pt>
                <c:pt idx="4">
                  <c:v>3.1747788941022567E-3</c:v>
                </c:pt>
              </c:numCache>
            </c:numRef>
          </c:xVal>
          <c:yVal>
            <c:numRef>
              <c:f>'1_9010'!$G$88:$G$92</c:f>
              <c:numCache>
                <c:formatCode>General</c:formatCode>
                <c:ptCount val="5"/>
                <c:pt idx="0">
                  <c:v>143.64000000000001</c:v>
                </c:pt>
                <c:pt idx="1">
                  <c:v>151.62</c:v>
                </c:pt>
                <c:pt idx="2">
                  <c:v>159.60000000000002</c:v>
                </c:pt>
                <c:pt idx="3">
                  <c:v>199.5</c:v>
                </c:pt>
                <c:pt idx="4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18736"/>
        <c:axId val="422216384"/>
      </c:scatterChart>
      <c:valAx>
        <c:axId val="42221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6384"/>
        <c:crosses val="autoZero"/>
        <c:crossBetween val="midCat"/>
      </c:valAx>
      <c:valAx>
        <c:axId val="422216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8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5707239720034997"/>
                  <c:y val="6.324803149606299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'1_7525'!$F$7:$F$14</c:f>
              <c:numCache>
                <c:formatCode>General</c:formatCode>
                <c:ptCount val="8"/>
                <c:pt idx="0">
                  <c:v>3.3547852856062675E-4</c:v>
                </c:pt>
                <c:pt idx="1">
                  <c:v>4.5308296462538559E-4</c:v>
                </c:pt>
                <c:pt idx="2">
                  <c:v>4.5308296462538559E-4</c:v>
                </c:pt>
                <c:pt idx="3">
                  <c:v>4.5484059840880008E-4</c:v>
                </c:pt>
                <c:pt idx="4">
                  <c:v>4.8283000381627792E-4</c:v>
                </c:pt>
                <c:pt idx="5">
                  <c:v>5.3261467863319537E-4</c:v>
                </c:pt>
                <c:pt idx="6">
                  <c:v>1.8812082507593808E-3</c:v>
                </c:pt>
                <c:pt idx="7">
                  <c:v>2.5623629055451943E-3</c:v>
                </c:pt>
              </c:numCache>
            </c:numRef>
          </c:xVal>
          <c:yVal>
            <c:numRef>
              <c:f>'1_7525'!$G$7:$G$14</c:f>
              <c:numCache>
                <c:formatCode>General</c:formatCode>
                <c:ptCount val="8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  <c:pt idx="6">
                  <c:v>239.4</c:v>
                </c:pt>
                <c:pt idx="7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2216776"/>
        <c:axId val="422213640"/>
      </c:scatterChart>
      <c:valAx>
        <c:axId val="422216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3640"/>
        <c:crosses val="autoZero"/>
        <c:crossBetween val="midCat"/>
      </c:valAx>
      <c:valAx>
        <c:axId val="422213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2216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1307917760279965"/>
                  <c:y val="-7.928222513852435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'1_100percent'!$F$19:$F$30</c:f>
              <c:numCache>
                <c:formatCode>General</c:formatCode>
                <c:ptCount val="12"/>
                <c:pt idx="0">
                  <c:v>3.91944134403456E-4</c:v>
                </c:pt>
                <c:pt idx="1">
                  <c:v>4.204339975272527E-4</c:v>
                </c:pt>
                <c:pt idx="2">
                  <c:v>4.4960573929162336E-4</c:v>
                </c:pt>
                <c:pt idx="3">
                  <c:v>4.5308296462538559E-4</c:v>
                </c:pt>
                <c:pt idx="4">
                  <c:v>4.5661109459056384E-4</c:v>
                </c:pt>
                <c:pt idx="5">
                  <c:v>6.1093450649608188E-4</c:v>
                </c:pt>
                <c:pt idx="6">
                  <c:v>6.1713687531504897E-4</c:v>
                </c:pt>
                <c:pt idx="7">
                  <c:v>2.2413659610626821E-3</c:v>
                </c:pt>
                <c:pt idx="8">
                  <c:v>2.3142781953323513E-3</c:v>
                </c:pt>
                <c:pt idx="9">
                  <c:v>2.4743111865445011E-3</c:v>
                </c:pt>
                <c:pt idx="10">
                  <c:v>2.5176135502615734E-3</c:v>
                </c:pt>
                <c:pt idx="11">
                  <c:v>2.8656453041757948E-3</c:v>
                </c:pt>
              </c:numCache>
            </c:numRef>
          </c:xVal>
          <c:yVal>
            <c:numRef>
              <c:f>'1_100percent'!$G$19:$G$30</c:f>
              <c:numCache>
                <c:formatCode>General</c:formatCode>
                <c:ptCount val="12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  <c:pt idx="10">
                  <c:v>239.4</c:v>
                </c:pt>
                <c:pt idx="11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515840"/>
        <c:axId val="419514664"/>
      </c:scatterChart>
      <c:valAx>
        <c:axId val="419515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4664"/>
        <c:crosses val="autoZero"/>
        <c:crossBetween val="midCat"/>
      </c:valAx>
      <c:valAx>
        <c:axId val="419514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5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5720866141732284"/>
                  <c:y val="4.175014581510644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'1_7525'!$F$22:$F$28</c:f>
              <c:numCache>
                <c:formatCode>General</c:formatCode>
                <c:ptCount val="7"/>
                <c:pt idx="0">
                  <c:v>6.0613728780730567E-3</c:v>
                </c:pt>
                <c:pt idx="1">
                  <c:v>6.0613728780730567E-3</c:v>
                </c:pt>
                <c:pt idx="2">
                  <c:v>6.5557158127675817E-3</c:v>
                </c:pt>
                <c:pt idx="3">
                  <c:v>6.8323192270269553E-3</c:v>
                </c:pt>
                <c:pt idx="4">
                  <c:v>7.4567518401223581E-3</c:v>
                </c:pt>
                <c:pt idx="5">
                  <c:v>8.1978484653347193E-3</c:v>
                </c:pt>
                <c:pt idx="6">
                  <c:v>1.7170208017345791E-2</c:v>
                </c:pt>
              </c:numCache>
            </c:numRef>
          </c:xVal>
          <c:yVal>
            <c:numRef>
              <c:f>'1_7525'!$G$22:$G$28</c:f>
              <c:numCache>
                <c:formatCode>General</c:formatCode>
                <c:ptCount val="7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  <c:pt idx="6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222232"/>
        <c:axId val="423221840"/>
      </c:scatterChart>
      <c:valAx>
        <c:axId val="423222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1840"/>
        <c:crosses val="autoZero"/>
        <c:crossBetween val="midCat"/>
      </c:valAx>
      <c:valAx>
        <c:axId val="42322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2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'1_7525'!$F$38:$F$44</c:f>
              <c:numCache>
                <c:formatCode>General</c:formatCode>
                <c:ptCount val="7"/>
                <c:pt idx="0">
                  <c:v>5.7881558437985255E-4</c:v>
                </c:pt>
                <c:pt idx="1">
                  <c:v>9.1757995852826736E-4</c:v>
                </c:pt>
                <c:pt idx="2">
                  <c:v>9.1757995852826736E-4</c:v>
                </c:pt>
                <c:pt idx="3">
                  <c:v>9.2422426741514902E-4</c:v>
                </c:pt>
                <c:pt idx="4">
                  <c:v>3.6392063325281759E-3</c:v>
                </c:pt>
                <c:pt idx="5">
                  <c:v>5.6327461460243889E-3</c:v>
                </c:pt>
                <c:pt idx="6">
                  <c:v>1.0185650959234835E-2</c:v>
                </c:pt>
              </c:numCache>
            </c:numRef>
          </c:xVal>
          <c:yVal>
            <c:numRef>
              <c:f>'1_7525'!$G$38:$G$44</c:f>
              <c:numCache>
                <c:formatCode>General</c:formatCode>
                <c:ptCount val="7"/>
                <c:pt idx="0">
                  <c:v>135.66</c:v>
                </c:pt>
                <c:pt idx="1">
                  <c:v>143.64000000000001</c:v>
                </c:pt>
                <c:pt idx="2">
                  <c:v>151.62</c:v>
                </c:pt>
                <c:pt idx="3">
                  <c:v>159.60000000000002</c:v>
                </c:pt>
                <c:pt idx="4">
                  <c:v>199.5</c:v>
                </c:pt>
                <c:pt idx="5">
                  <c:v>239.4</c:v>
                </c:pt>
                <c:pt idx="6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220664"/>
        <c:axId val="423221056"/>
      </c:scatterChart>
      <c:valAx>
        <c:axId val="423220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1056"/>
        <c:crosses val="autoZero"/>
        <c:crossBetween val="midCat"/>
      </c:valAx>
      <c:valAx>
        <c:axId val="423221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0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4.1632108486439195E-2"/>
                  <c:y val="-3.442403032954213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'1_7525'!$F$54:$F$60</c:f>
              <c:numCache>
                <c:formatCode>General</c:formatCode>
                <c:ptCount val="7"/>
                <c:pt idx="0">
                  <c:v>9.5884888630921763E-4</c:v>
                </c:pt>
                <c:pt idx="1">
                  <c:v>1.0613870647656809E-3</c:v>
                </c:pt>
                <c:pt idx="2">
                  <c:v>1.8315728074955549E-3</c:v>
                </c:pt>
                <c:pt idx="3">
                  <c:v>2.0464935427936043E-3</c:v>
                </c:pt>
                <c:pt idx="4">
                  <c:v>4.7760676318044622E-3</c:v>
                </c:pt>
                <c:pt idx="5">
                  <c:v>5.8396750879134646E-3</c:v>
                </c:pt>
                <c:pt idx="6">
                  <c:v>9.6089228144152165E-3</c:v>
                </c:pt>
              </c:numCache>
            </c:numRef>
          </c:xVal>
          <c:yVal>
            <c:numRef>
              <c:f>'1_7525'!$G$54:$G$60</c:f>
              <c:numCache>
                <c:formatCode>General</c:formatCode>
                <c:ptCount val="7"/>
                <c:pt idx="0">
                  <c:v>135.66</c:v>
                </c:pt>
                <c:pt idx="1">
                  <c:v>143.64000000000001</c:v>
                </c:pt>
                <c:pt idx="2">
                  <c:v>151.62</c:v>
                </c:pt>
                <c:pt idx="3">
                  <c:v>159.60000000000002</c:v>
                </c:pt>
                <c:pt idx="4">
                  <c:v>199.5</c:v>
                </c:pt>
                <c:pt idx="5">
                  <c:v>239.4</c:v>
                </c:pt>
                <c:pt idx="6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223016"/>
        <c:axId val="423222624"/>
      </c:scatterChart>
      <c:valAx>
        <c:axId val="423223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2624"/>
        <c:crosses val="autoZero"/>
        <c:crossBetween val="midCat"/>
      </c:valAx>
      <c:valAx>
        <c:axId val="423222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3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'1_7525'!$F$68:$F$76</c:f>
              <c:numCache>
                <c:formatCode>General</c:formatCode>
                <c:ptCount val="9"/>
                <c:pt idx="0">
                  <c:v>2.9258360564620681E-4</c:v>
                </c:pt>
                <c:pt idx="1">
                  <c:v>3.7164771561681349E-4</c:v>
                </c:pt>
                <c:pt idx="2">
                  <c:v>4.3782112540629567E-4</c:v>
                </c:pt>
                <c:pt idx="3">
                  <c:v>4.3782112540629567E-4</c:v>
                </c:pt>
                <c:pt idx="4">
                  <c:v>4.3946892747265834E-4</c:v>
                </c:pt>
                <c:pt idx="5">
                  <c:v>4.4112842754774341E-4</c:v>
                </c:pt>
                <c:pt idx="6">
                  <c:v>5.7060080469141191E-4</c:v>
                </c:pt>
                <c:pt idx="7">
                  <c:v>2.2413659610626821E-3</c:v>
                </c:pt>
                <c:pt idx="8">
                  <c:v>3.10805438276914E-3</c:v>
                </c:pt>
              </c:numCache>
            </c:numRef>
          </c:xVal>
          <c:yVal>
            <c:numRef>
              <c:f>'1_7525'!$G$68:$G$76</c:f>
              <c:numCache>
                <c:formatCode>General</c:formatCode>
                <c:ptCount val="9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  <c:pt idx="6">
                  <c:v>199.5</c:v>
                </c:pt>
                <c:pt idx="7">
                  <c:v>239.4</c:v>
                </c:pt>
                <c:pt idx="8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223800"/>
        <c:axId val="423224192"/>
      </c:scatterChart>
      <c:valAx>
        <c:axId val="423223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4192"/>
        <c:crosses val="autoZero"/>
        <c:crossBetween val="midCat"/>
      </c:valAx>
      <c:valAx>
        <c:axId val="423224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3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8386132983377079"/>
                  <c:y val="-5.104403616214640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'1_7525'!$F$84:$F$91</c:f>
              <c:numCache>
                <c:formatCode>General</c:formatCode>
                <c:ptCount val="8"/>
                <c:pt idx="0">
                  <c:v>5.6327461460243889E-3</c:v>
                </c:pt>
                <c:pt idx="1">
                  <c:v>5.8396750879134646E-3</c:v>
                </c:pt>
                <c:pt idx="2">
                  <c:v>7.8108089666342031E-3</c:v>
                </c:pt>
                <c:pt idx="3">
                  <c:v>7.8108089666342031E-3</c:v>
                </c:pt>
                <c:pt idx="4">
                  <c:v>8.1978484653347193E-3</c:v>
                </c:pt>
                <c:pt idx="5">
                  <c:v>8.1978484653347193E-3</c:v>
                </c:pt>
                <c:pt idx="6">
                  <c:v>1.0831082234429018E-2</c:v>
                </c:pt>
                <c:pt idx="7">
                  <c:v>3.774462345940157E-2</c:v>
                </c:pt>
              </c:numCache>
            </c:numRef>
          </c:xVal>
          <c:yVal>
            <c:numRef>
              <c:f>'1_7525'!$G$84:$G$91</c:f>
              <c:numCache>
                <c:formatCode>General</c:formatCode>
                <c:ptCount val="8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  <c:pt idx="6">
                  <c:v>199.5</c:v>
                </c:pt>
                <c:pt idx="7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218312"/>
        <c:axId val="423219488"/>
      </c:scatterChart>
      <c:valAx>
        <c:axId val="42321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19488"/>
        <c:crosses val="autoZero"/>
        <c:crossBetween val="midCat"/>
      </c:valAx>
      <c:valAx>
        <c:axId val="423219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18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7.037423447069116E-2"/>
                  <c:y val="2.025736366287547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'1_5050'!$F$3:$F$12</c:f>
              <c:numCache>
                <c:formatCode>General</c:formatCode>
                <c:ptCount val="10"/>
                <c:pt idx="0">
                  <c:v>6.8253489179710236E-4</c:v>
                </c:pt>
                <c:pt idx="1">
                  <c:v>6.9406543454342382E-4</c:v>
                </c:pt>
                <c:pt idx="2">
                  <c:v>8.2231685203107614E-4</c:v>
                </c:pt>
                <c:pt idx="3">
                  <c:v>8.67496600719948E-4</c:v>
                </c:pt>
                <c:pt idx="4">
                  <c:v>8.8566265243566512E-4</c:v>
                </c:pt>
                <c:pt idx="5">
                  <c:v>9.1757995852826736E-4</c:v>
                </c:pt>
                <c:pt idx="6">
                  <c:v>9.3095960736544676E-4</c:v>
                </c:pt>
                <c:pt idx="7">
                  <c:v>9.3778782116372853E-4</c:v>
                </c:pt>
                <c:pt idx="8">
                  <c:v>9.4471080111264505E-4</c:v>
                </c:pt>
                <c:pt idx="9">
                  <c:v>9.9599526565887983E-4</c:v>
                </c:pt>
              </c:numCache>
            </c:numRef>
          </c:xVal>
          <c:yVal>
            <c:numRef>
              <c:f>'1_5050'!$G$3:$G$12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224976"/>
        <c:axId val="423225368"/>
      </c:scatterChart>
      <c:valAx>
        <c:axId val="42322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5368"/>
        <c:crosses val="autoZero"/>
        <c:crossBetween val="midCat"/>
      </c:valAx>
      <c:valAx>
        <c:axId val="423225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4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0235083114610674"/>
                  <c:y val="-6.123140857392826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'1_5050'!$F$24:$F$31</c:f>
              <c:numCache>
                <c:formatCode>General</c:formatCode>
                <c:ptCount val="8"/>
                <c:pt idx="0">
                  <c:v>1.290941835523082E-3</c:v>
                </c:pt>
                <c:pt idx="1">
                  <c:v>1.290941835523082E-3</c:v>
                </c:pt>
                <c:pt idx="2">
                  <c:v>1.316484621969535E-3</c:v>
                </c:pt>
                <c:pt idx="3">
                  <c:v>1.3296153039165969E-3</c:v>
                </c:pt>
                <c:pt idx="4">
                  <c:v>1.3296153039165969E-3</c:v>
                </c:pt>
                <c:pt idx="5">
                  <c:v>1.3705258268879013E-3</c:v>
                </c:pt>
                <c:pt idx="6">
                  <c:v>1.4288938023730643E-3</c:v>
                </c:pt>
                <c:pt idx="7">
                  <c:v>1.5087514015687832E-3</c:v>
                </c:pt>
              </c:numCache>
            </c:numRef>
          </c:xVal>
          <c:yVal>
            <c:numRef>
              <c:f>'1_5050'!$G$24:$G$31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225760"/>
        <c:axId val="423219880"/>
      </c:scatterChart>
      <c:valAx>
        <c:axId val="42322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19880"/>
        <c:crosses val="autoZero"/>
        <c:crossBetween val="midCat"/>
      </c:valAx>
      <c:valAx>
        <c:axId val="4232198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225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'1_5050'!$F$39:$F$46</c:f>
              <c:numCache>
                <c:formatCode>General</c:formatCode>
                <c:ptCount val="8"/>
                <c:pt idx="0">
                  <c:v>1.0831082234429018E-2</c:v>
                </c:pt>
                <c:pt idx="1">
                  <c:v>1.0831082234429018E-2</c:v>
                </c:pt>
                <c:pt idx="2">
                  <c:v>1.0831082234429018E-2</c:v>
                </c:pt>
                <c:pt idx="3">
                  <c:v>1.0831082234429018E-2</c:v>
                </c:pt>
                <c:pt idx="4">
                  <c:v>1.1557940943796448E-2</c:v>
                </c:pt>
                <c:pt idx="5">
                  <c:v>1.5677368375515564E-2</c:v>
                </c:pt>
                <c:pt idx="6">
                  <c:v>1.5677368375515564E-2</c:v>
                </c:pt>
                <c:pt idx="7">
                  <c:v>2.7219444648087589E-2</c:v>
                </c:pt>
              </c:numCache>
            </c:numRef>
          </c:xVal>
          <c:yVal>
            <c:numRef>
              <c:f>'1_5050'!$G$39:$G$46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582664"/>
        <c:axId val="423586584"/>
      </c:scatterChart>
      <c:valAx>
        <c:axId val="423582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6584"/>
        <c:crosses val="autoZero"/>
        <c:crossBetween val="midCat"/>
      </c:valAx>
      <c:valAx>
        <c:axId val="423586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2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744103237095363"/>
                  <c:y val="-4.254520268299796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'1_5050'!$F$55:$F$62</c:f>
              <c:numCache>
                <c:formatCode>General</c:formatCode>
                <c:ptCount val="8"/>
                <c:pt idx="0">
                  <c:v>2.9105191548547482E-4</c:v>
                </c:pt>
                <c:pt idx="1">
                  <c:v>2.9335514609092752E-4</c:v>
                </c:pt>
                <c:pt idx="2">
                  <c:v>2.9569288288034567E-4</c:v>
                </c:pt>
                <c:pt idx="3">
                  <c:v>2.9727092069108124E-4</c:v>
                </c:pt>
                <c:pt idx="4">
                  <c:v>2.9727092069108124E-4</c:v>
                </c:pt>
                <c:pt idx="5">
                  <c:v>2.980658901535002E-4</c:v>
                </c:pt>
                <c:pt idx="6">
                  <c:v>3.0708164452297791E-4</c:v>
                </c:pt>
                <c:pt idx="7">
                  <c:v>1.0880324533346709E-3</c:v>
                </c:pt>
              </c:numCache>
            </c:numRef>
          </c:xVal>
          <c:yVal>
            <c:numRef>
              <c:f>'1_5050'!$G$55:$G$62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583448"/>
        <c:axId val="423584624"/>
      </c:scatterChart>
      <c:valAx>
        <c:axId val="42358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4624"/>
        <c:crosses val="autoZero"/>
        <c:crossBetween val="midCat"/>
      </c:valAx>
      <c:valAx>
        <c:axId val="42358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3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5451859142607175"/>
                  <c:y val="-8.5812190142898809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'10_100percent'!$F$4:$F$9</c:f>
              <c:numCache>
                <c:formatCode>General</c:formatCode>
                <c:ptCount val="6"/>
                <c:pt idx="0">
                  <c:v>3.8235546144592112E-3</c:v>
                </c:pt>
                <c:pt idx="1">
                  <c:v>3.8235546144592112E-3</c:v>
                </c:pt>
                <c:pt idx="2">
                  <c:v>4.026277718217495E-3</c:v>
                </c:pt>
                <c:pt idx="3">
                  <c:v>7.8108089666342031E-3</c:v>
                </c:pt>
                <c:pt idx="4">
                  <c:v>8.1978484653347193E-3</c:v>
                </c:pt>
                <c:pt idx="5">
                  <c:v>1.0185650959234835E-2</c:v>
                </c:pt>
              </c:numCache>
            </c:numRef>
          </c:xVal>
          <c:yVal>
            <c:numRef>
              <c:f>'10_100percent'!$G$4:$G$9</c:f>
              <c:numCache>
                <c:formatCode>General</c:formatCode>
                <c:ptCount val="6"/>
                <c:pt idx="0">
                  <c:v>87.78</c:v>
                </c:pt>
                <c:pt idx="1">
                  <c:v>95.76</c:v>
                </c:pt>
                <c:pt idx="2">
                  <c:v>103.74000000000001</c:v>
                </c:pt>
                <c:pt idx="3">
                  <c:v>111.72</c:v>
                </c:pt>
                <c:pt idx="4">
                  <c:v>119.7</c:v>
                </c:pt>
                <c:pt idx="5">
                  <c:v>127.68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585016"/>
        <c:axId val="423585408"/>
      </c:scatterChart>
      <c:valAx>
        <c:axId val="423585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5408"/>
        <c:crosses val="autoZero"/>
        <c:crossBetween val="midCat"/>
      </c:valAx>
      <c:valAx>
        <c:axId val="4235854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5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'1_100percent'!$F$34:$F$44</c:f>
              <c:numCache>
                <c:formatCode>General</c:formatCode>
                <c:ptCount val="11"/>
                <c:pt idx="0">
                  <c:v>6.2028264233829952E-4</c:v>
                </c:pt>
                <c:pt idx="1">
                  <c:v>6.2666545170097794E-4</c:v>
                </c:pt>
                <c:pt idx="2">
                  <c:v>7.1411786426655091E-4</c:v>
                </c:pt>
                <c:pt idx="3">
                  <c:v>7.1825959616524939E-4</c:v>
                </c:pt>
                <c:pt idx="4">
                  <c:v>7.2667996839424352E-4</c:v>
                </c:pt>
                <c:pt idx="5">
                  <c:v>7.7651658213313368E-4</c:v>
                </c:pt>
                <c:pt idx="6">
                  <c:v>7.8136677585183278E-4</c:v>
                </c:pt>
                <c:pt idx="7">
                  <c:v>7.8627423847093473E-4</c:v>
                </c:pt>
                <c:pt idx="8">
                  <c:v>8.3319114674541535E-4</c:v>
                </c:pt>
                <c:pt idx="9">
                  <c:v>8.6159607124354335E-4</c:v>
                </c:pt>
                <c:pt idx="10">
                  <c:v>1.0196079935951374E-3</c:v>
                </c:pt>
              </c:numCache>
            </c:numRef>
          </c:xVal>
          <c:yVal>
            <c:numRef>
              <c:f>'1_100percent'!$G$34:$G$44</c:f>
              <c:numCache>
                <c:formatCode>General</c:formatCode>
                <c:ptCount val="11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  <c:pt idx="10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514272"/>
        <c:axId val="419515056"/>
      </c:scatterChart>
      <c:valAx>
        <c:axId val="419514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5056"/>
        <c:crosses val="autoZero"/>
        <c:crossBetween val="midCat"/>
      </c:valAx>
      <c:valAx>
        <c:axId val="41951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42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9961198600174976"/>
                  <c:y val="-9.0387139107611543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'10_100percent'!$F$21:$F$26</c:f>
              <c:numCache>
                <c:formatCode>General</c:formatCode>
                <c:ptCount val="6"/>
                <c:pt idx="0">
                  <c:v>5.2558255661673829E-4</c:v>
                </c:pt>
                <c:pt idx="1">
                  <c:v>1.0196079935951374E-3</c:v>
                </c:pt>
                <c:pt idx="2">
                  <c:v>1.8560786502070086E-3</c:v>
                </c:pt>
                <c:pt idx="3">
                  <c:v>1.9069851986305069E-3</c:v>
                </c:pt>
                <c:pt idx="4">
                  <c:v>6.0613728780730567E-3</c:v>
                </c:pt>
                <c:pt idx="5">
                  <c:v>7.1317091416131561E-3</c:v>
                </c:pt>
              </c:numCache>
            </c:numRef>
          </c:xVal>
          <c:yVal>
            <c:numRef>
              <c:f>'10_100percent'!$G$21:$G$26</c:f>
              <c:numCache>
                <c:formatCode>General</c:formatCode>
                <c:ptCount val="6"/>
                <c:pt idx="0">
                  <c:v>87.78</c:v>
                </c:pt>
                <c:pt idx="1">
                  <c:v>95.76</c:v>
                </c:pt>
                <c:pt idx="2">
                  <c:v>103.74000000000001</c:v>
                </c:pt>
                <c:pt idx="3">
                  <c:v>111.72</c:v>
                </c:pt>
                <c:pt idx="4">
                  <c:v>119.7</c:v>
                </c:pt>
                <c:pt idx="5">
                  <c:v>127.68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586976"/>
        <c:axId val="423585800"/>
      </c:scatterChart>
      <c:valAx>
        <c:axId val="42358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5800"/>
        <c:crosses val="autoZero"/>
        <c:crossBetween val="midCat"/>
      </c:valAx>
      <c:valAx>
        <c:axId val="4235858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6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8478040244969379"/>
                  <c:y val="-9.847513852435112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'10_100percent'!$F$36:$F$45</c:f>
              <c:numCache>
                <c:formatCode>General</c:formatCode>
                <c:ptCount val="10"/>
                <c:pt idx="0">
                  <c:v>1.9884543439480438E-3</c:v>
                </c:pt>
                <c:pt idx="1">
                  <c:v>2.8656453041757948E-3</c:v>
                </c:pt>
                <c:pt idx="2">
                  <c:v>2.9228433890545022E-3</c:v>
                </c:pt>
                <c:pt idx="3">
                  <c:v>3.0439184099768663E-3</c:v>
                </c:pt>
                <c:pt idx="4">
                  <c:v>4.1353894490911668E-3</c:v>
                </c:pt>
                <c:pt idx="5">
                  <c:v>4.3711445081334706E-3</c:v>
                </c:pt>
                <c:pt idx="6">
                  <c:v>4.9271106179707355E-3</c:v>
                </c:pt>
                <c:pt idx="7">
                  <c:v>5.0873908443554222E-3</c:v>
                </c:pt>
                <c:pt idx="8">
                  <c:v>5.2577620881723644E-3</c:v>
                </c:pt>
                <c:pt idx="9">
                  <c:v>6.8323192270269553E-3</c:v>
                </c:pt>
              </c:numCache>
            </c:numRef>
          </c:xVal>
          <c:yVal>
            <c:numRef>
              <c:f>'10_100percent'!$G$36:$G$45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583840"/>
        <c:axId val="423581096"/>
      </c:scatterChart>
      <c:valAx>
        <c:axId val="42358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1096"/>
        <c:crosses val="autoZero"/>
        <c:crossBetween val="midCat"/>
      </c:valAx>
      <c:valAx>
        <c:axId val="423581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3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190174978127734"/>
                  <c:y val="-3.756087780694079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'10_100percent'!$F$52:$F$61</c:f>
              <c:numCache>
                <c:formatCode>General</c:formatCode>
                <c:ptCount val="10"/>
                <c:pt idx="0">
                  <c:v>3.4708873458777541E-3</c:v>
                </c:pt>
                <c:pt idx="1">
                  <c:v>4.026277718217495E-3</c:v>
                </c:pt>
                <c:pt idx="2">
                  <c:v>4.1353894490911668E-3</c:v>
                </c:pt>
                <c:pt idx="3">
                  <c:v>4.2501959551075989E-3</c:v>
                </c:pt>
                <c:pt idx="4">
                  <c:v>4.3711445081334706E-3</c:v>
                </c:pt>
                <c:pt idx="5">
                  <c:v>8.1978484653347193E-3</c:v>
                </c:pt>
                <c:pt idx="6">
                  <c:v>1.0185650959234835E-2</c:v>
                </c:pt>
                <c:pt idx="7">
                  <c:v>1.0831082234429018E-2</c:v>
                </c:pt>
                <c:pt idx="8">
                  <c:v>1.1557940943796448E-2</c:v>
                </c:pt>
                <c:pt idx="9">
                  <c:v>2.7219444648087589E-2</c:v>
                </c:pt>
              </c:numCache>
            </c:numRef>
          </c:xVal>
          <c:yVal>
            <c:numRef>
              <c:f>'10_100percent'!$G$52:$G$61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586192"/>
        <c:axId val="423579920"/>
      </c:scatterChart>
      <c:valAx>
        <c:axId val="42358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79920"/>
        <c:crosses val="autoZero"/>
        <c:crossBetween val="midCat"/>
      </c:valAx>
      <c:valAx>
        <c:axId val="423579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6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1840748031496063"/>
                  <c:y val="-1.840806357538641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'10_100percent'!$F$69:$F$76</c:f>
              <c:numCache>
                <c:formatCode>General</c:formatCode>
                <c:ptCount val="8"/>
                <c:pt idx="0">
                  <c:v>5.2327716857353821E-4</c:v>
                </c:pt>
                <c:pt idx="1">
                  <c:v>1.492116914970118E-3</c:v>
                </c:pt>
                <c:pt idx="2">
                  <c:v>3.6392063325281759E-3</c:v>
                </c:pt>
                <c:pt idx="3">
                  <c:v>4.026277718217495E-3</c:v>
                </c:pt>
                <c:pt idx="4">
                  <c:v>5.4391853589170489E-3</c:v>
                </c:pt>
                <c:pt idx="5">
                  <c:v>7.8108089666342031E-3</c:v>
                </c:pt>
                <c:pt idx="6">
                  <c:v>1.0185650959234835E-2</c:v>
                </c:pt>
                <c:pt idx="7">
                  <c:v>1.0185650959234835E-2</c:v>
                </c:pt>
              </c:numCache>
            </c:numRef>
          </c:xVal>
          <c:yVal>
            <c:numRef>
              <c:f>'10_100percent'!$G$69:$G$76</c:f>
              <c:numCache>
                <c:formatCode>General</c:formatCode>
                <c:ptCount val="8"/>
                <c:pt idx="0">
                  <c:v>87.78</c:v>
                </c:pt>
                <c:pt idx="1">
                  <c:v>95.76</c:v>
                </c:pt>
                <c:pt idx="2">
                  <c:v>103.74000000000001</c:v>
                </c:pt>
                <c:pt idx="3">
                  <c:v>111.72</c:v>
                </c:pt>
                <c:pt idx="4">
                  <c:v>119.7</c:v>
                </c:pt>
                <c:pt idx="5">
                  <c:v>127.68</c:v>
                </c:pt>
                <c:pt idx="6">
                  <c:v>135.66</c:v>
                </c:pt>
                <c:pt idx="7">
                  <c:v>143.64000000000001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580704"/>
        <c:axId val="423954848"/>
      </c:scatterChart>
      <c:valAx>
        <c:axId val="42358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4848"/>
        <c:crosses val="autoZero"/>
        <c:crossBetween val="midCat"/>
      </c:valAx>
      <c:valAx>
        <c:axId val="423954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580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4955796150481189"/>
                  <c:y val="1.171660834062408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'10_100percent'!$F$84:$F$91</c:f>
              <c:numCache>
                <c:formatCode>General</c:formatCode>
                <c:ptCount val="8"/>
                <c:pt idx="0">
                  <c:v>1.5430876982370939E-3</c:v>
                </c:pt>
                <c:pt idx="1">
                  <c:v>1.6757353843407509E-3</c:v>
                </c:pt>
                <c:pt idx="2">
                  <c:v>4.9271106179707355E-3</c:v>
                </c:pt>
                <c:pt idx="3">
                  <c:v>4.9271106179707355E-3</c:v>
                </c:pt>
                <c:pt idx="4">
                  <c:v>5.0873908443554222E-3</c:v>
                </c:pt>
                <c:pt idx="5">
                  <c:v>5.2577620881723644E-3</c:v>
                </c:pt>
                <c:pt idx="6">
                  <c:v>6.5557158127675817E-3</c:v>
                </c:pt>
                <c:pt idx="7">
                  <c:v>6.5557158127675817E-3</c:v>
                </c:pt>
              </c:numCache>
            </c:numRef>
          </c:xVal>
          <c:yVal>
            <c:numRef>
              <c:f>'10_100percent'!$G$84:$G$91</c:f>
              <c:numCache>
                <c:formatCode>General</c:formatCode>
                <c:ptCount val="8"/>
                <c:pt idx="0">
                  <c:v>87.78</c:v>
                </c:pt>
                <c:pt idx="1">
                  <c:v>95.76</c:v>
                </c:pt>
                <c:pt idx="2">
                  <c:v>103.74000000000001</c:v>
                </c:pt>
                <c:pt idx="3">
                  <c:v>111.72</c:v>
                </c:pt>
                <c:pt idx="4">
                  <c:v>119.7</c:v>
                </c:pt>
                <c:pt idx="5">
                  <c:v>127.68</c:v>
                </c:pt>
                <c:pt idx="6">
                  <c:v>135.66</c:v>
                </c:pt>
                <c:pt idx="7">
                  <c:v>143.64000000000001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956024"/>
        <c:axId val="423959552"/>
      </c:scatterChart>
      <c:valAx>
        <c:axId val="423956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9552"/>
        <c:crosses val="autoZero"/>
        <c:crossBetween val="midCat"/>
      </c:valAx>
      <c:valAx>
        <c:axId val="423959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6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5010126859142603"/>
                  <c:y val="-1.6225575969670458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'10_9010'!$F$5:$F$13</c:f>
              <c:numCache>
                <c:formatCode>General</c:formatCode>
                <c:ptCount val="9"/>
                <c:pt idx="0">
                  <c:v>6.3647442468848018E-4</c:v>
                </c:pt>
                <c:pt idx="1">
                  <c:v>6.431755523493793E-4</c:v>
                </c:pt>
                <c:pt idx="2">
                  <c:v>1.3566288165027698E-3</c:v>
                </c:pt>
                <c:pt idx="3">
                  <c:v>1.9069851986305069E-3</c:v>
                </c:pt>
                <c:pt idx="4">
                  <c:v>2.0464935427936043E-3</c:v>
                </c:pt>
                <c:pt idx="5">
                  <c:v>3.922455471491895E-3</c:v>
                </c:pt>
                <c:pt idx="6">
                  <c:v>3.922455471491895E-3</c:v>
                </c:pt>
                <c:pt idx="7">
                  <c:v>7.8108089666342031E-3</c:v>
                </c:pt>
                <c:pt idx="8">
                  <c:v>8.6225865556297E-3</c:v>
                </c:pt>
              </c:numCache>
            </c:numRef>
          </c:xVal>
          <c:yVal>
            <c:numRef>
              <c:f>'10_9010'!$G$5:$G$13</c:f>
              <c:numCache>
                <c:formatCode>General</c:formatCode>
                <c:ptCount val="9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  <c:pt idx="8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952888"/>
        <c:axId val="423955240"/>
      </c:scatterChart>
      <c:valAx>
        <c:axId val="423952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5240"/>
        <c:crosses val="autoZero"/>
        <c:crossBetween val="midCat"/>
      </c:valAx>
      <c:valAx>
        <c:axId val="423955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2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527432195975503"/>
                  <c:y val="-2.503426655001458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'10_9010'!$F$21:$F$29</c:f>
              <c:numCache>
                <c:formatCode>General</c:formatCode>
                <c:ptCount val="9"/>
                <c:pt idx="0">
                  <c:v>4.7891284168806333E-4</c:v>
                </c:pt>
                <c:pt idx="1">
                  <c:v>7.4856491480596E-4</c:v>
                </c:pt>
                <c:pt idx="2">
                  <c:v>7.5766930358747448E-4</c:v>
                </c:pt>
                <c:pt idx="3">
                  <c:v>3.2442482731988519E-3</c:v>
                </c:pt>
                <c:pt idx="4">
                  <c:v>3.2442482731988519E-3</c:v>
                </c:pt>
                <c:pt idx="5">
                  <c:v>6.299440453199451E-3</c:v>
                </c:pt>
                <c:pt idx="6">
                  <c:v>6.8323192270269553E-3</c:v>
                </c:pt>
                <c:pt idx="7">
                  <c:v>7.8108089666342031E-3</c:v>
                </c:pt>
                <c:pt idx="8">
                  <c:v>9.6089228144152165E-3</c:v>
                </c:pt>
              </c:numCache>
            </c:numRef>
          </c:xVal>
          <c:yVal>
            <c:numRef>
              <c:f>'10_9010'!$G$21:$G$29</c:f>
              <c:numCache>
                <c:formatCode>General</c:formatCode>
                <c:ptCount val="9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  <c:pt idx="8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958768"/>
        <c:axId val="423959944"/>
      </c:scatterChart>
      <c:valAx>
        <c:axId val="42395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9944"/>
        <c:crosses val="autoZero"/>
        <c:crossBetween val="midCat"/>
      </c:valAx>
      <c:valAx>
        <c:axId val="423959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87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676793525809275"/>
                  <c:y val="4.658792650918635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'10_9010'!$F$71:$F$78</c:f>
              <c:numCache>
                <c:formatCode>General</c:formatCode>
                <c:ptCount val="8"/>
                <c:pt idx="0">
                  <c:v>4.1148740127604835E-4</c:v>
                </c:pt>
                <c:pt idx="1">
                  <c:v>1.6357039178369838E-3</c:v>
                </c:pt>
                <c:pt idx="2">
                  <c:v>1.7393531072461769E-3</c:v>
                </c:pt>
                <c:pt idx="3">
                  <c:v>2.6086313659827404E-3</c:v>
                </c:pt>
                <c:pt idx="4">
                  <c:v>2.7573472364655128E-3</c:v>
                </c:pt>
                <c:pt idx="5">
                  <c:v>3.1747788941022567E-3</c:v>
                </c:pt>
                <c:pt idx="6">
                  <c:v>5.6327461460243889E-3</c:v>
                </c:pt>
                <c:pt idx="7">
                  <c:v>8.6225865556297E-3</c:v>
                </c:pt>
              </c:numCache>
            </c:numRef>
          </c:xVal>
          <c:yVal>
            <c:numRef>
              <c:f>'10_9010'!$G$71:$G$78</c:f>
              <c:numCache>
                <c:formatCode>General</c:formatCode>
                <c:ptCount val="8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  <c:pt idx="6">
                  <c:v>239.4</c:v>
                </c:pt>
                <c:pt idx="7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954064"/>
        <c:axId val="423953280"/>
      </c:scatterChart>
      <c:valAx>
        <c:axId val="42395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3280"/>
        <c:crosses val="autoZero"/>
        <c:crossBetween val="midCat"/>
      </c:valAx>
      <c:valAx>
        <c:axId val="423953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4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1874343832020996"/>
                  <c:y val="3.703703703703703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'10_9010'!$F$87:$F$94</c:f>
              <c:numCache>
                <c:formatCode>General</c:formatCode>
                <c:ptCount val="8"/>
                <c:pt idx="0">
                  <c:v>9.3778782116372853E-4</c:v>
                </c:pt>
                <c:pt idx="1">
                  <c:v>9.4471080111264505E-4</c:v>
                </c:pt>
                <c:pt idx="2">
                  <c:v>1.6163556851712883E-3</c:v>
                </c:pt>
                <c:pt idx="3">
                  <c:v>1.6163556851712883E-3</c:v>
                </c:pt>
                <c:pt idx="4">
                  <c:v>3.922455471491895E-3</c:v>
                </c:pt>
                <c:pt idx="5">
                  <c:v>3.922455471491895E-3</c:v>
                </c:pt>
                <c:pt idx="6">
                  <c:v>8.1978484653347193E-3</c:v>
                </c:pt>
                <c:pt idx="7">
                  <c:v>1.8954708205023315E-2</c:v>
                </c:pt>
              </c:numCache>
            </c:numRef>
          </c:xVal>
          <c:yVal>
            <c:numRef>
              <c:f>'10_9010'!$G$87:$G$94</c:f>
              <c:numCache>
                <c:formatCode>General</c:formatCode>
                <c:ptCount val="8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  <c:pt idx="6">
                  <c:v>239.4</c:v>
                </c:pt>
                <c:pt idx="7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956416"/>
        <c:axId val="423953672"/>
      </c:scatterChart>
      <c:valAx>
        <c:axId val="42395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3672"/>
        <c:crosses val="autoZero"/>
        <c:crossBetween val="midCat"/>
      </c:valAx>
      <c:valAx>
        <c:axId val="423953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6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7510126859142602"/>
                  <c:y val="-5.956000291630213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'10_7525'!$F$4:$F$13</c:f>
              <c:numCache>
                <c:formatCode>General</c:formatCode>
                <c:ptCount val="10"/>
                <c:pt idx="0">
                  <c:v>1.035942551636068E-3</c:v>
                </c:pt>
                <c:pt idx="1">
                  <c:v>1.0880324533346709E-3</c:v>
                </c:pt>
                <c:pt idx="2">
                  <c:v>1.3035956241437261E-3</c:v>
                </c:pt>
                <c:pt idx="3">
                  <c:v>1.316484621969535E-3</c:v>
                </c:pt>
                <c:pt idx="4">
                  <c:v>2.1397668059655252E-3</c:v>
                </c:pt>
                <c:pt idx="5">
                  <c:v>2.172655791127472E-3</c:v>
                </c:pt>
                <c:pt idx="6">
                  <c:v>2.2065081742912848E-3</c:v>
                </c:pt>
                <c:pt idx="7">
                  <c:v>4.9271106179707355E-3</c:v>
                </c:pt>
                <c:pt idx="8">
                  <c:v>5.8396750879134646E-3</c:v>
                </c:pt>
                <c:pt idx="9">
                  <c:v>8.6225865556297E-3</c:v>
                </c:pt>
              </c:numCache>
            </c:numRef>
          </c:xVal>
          <c:yVal>
            <c:numRef>
              <c:f>'10_7525'!$G$4:$G$13</c:f>
              <c:numCache>
                <c:formatCode>General</c:formatCode>
                <c:ptCount val="10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  <c:pt idx="8">
                  <c:v>199.5</c:v>
                </c:pt>
                <c:pt idx="9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954456"/>
        <c:axId val="423956808"/>
      </c:scatterChart>
      <c:valAx>
        <c:axId val="423954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6808"/>
        <c:crosses val="autoZero"/>
        <c:crossBetween val="midCat"/>
      </c:valAx>
      <c:valAx>
        <c:axId val="4239568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954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799321959755031"/>
                  <c:y val="5.15744386118401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'1_100percent'!$F$50:$F$58</c:f>
              <c:numCache>
                <c:formatCode>General</c:formatCode>
                <c:ptCount val="9"/>
                <c:pt idx="0">
                  <c:v>1.1557940943796448E-2</c:v>
                </c:pt>
                <c:pt idx="1">
                  <c:v>1.1557940943796448E-2</c:v>
                </c:pt>
                <c:pt idx="2">
                  <c:v>1.3324488363727047E-2</c:v>
                </c:pt>
                <c:pt idx="3">
                  <c:v>1.4411183872075611E-2</c:v>
                </c:pt>
                <c:pt idx="4">
                  <c:v>1.4411183872075611E-2</c:v>
                </c:pt>
                <c:pt idx="5">
                  <c:v>1.7170208017345791E-2</c:v>
                </c:pt>
                <c:pt idx="6">
                  <c:v>1.7170208017345791E-2</c:v>
                </c:pt>
                <c:pt idx="7">
                  <c:v>1.8954708205023315E-2</c:v>
                </c:pt>
                <c:pt idx="8">
                  <c:v>1.8954708205023315E-2</c:v>
                </c:pt>
              </c:numCache>
            </c:numRef>
          </c:xVal>
          <c:yVal>
            <c:numRef>
              <c:f>'1_100percent'!$G$50:$G$58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512704"/>
        <c:axId val="419508784"/>
      </c:scatterChart>
      <c:valAx>
        <c:axId val="419512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08784"/>
        <c:crosses val="autoZero"/>
        <c:crossBetween val="midCat"/>
      </c:valAx>
      <c:valAx>
        <c:axId val="419508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2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6118132108486442"/>
                  <c:y val="3.066929133858267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'10_7525'!$F$21:$F$31</c:f>
              <c:numCache>
                <c:formatCode>General</c:formatCode>
                <c:ptCount val="11"/>
                <c:pt idx="0">
                  <c:v>4.2660412238140766E-4</c:v>
                </c:pt>
                <c:pt idx="1">
                  <c:v>5.1424273814258583E-4</c:v>
                </c:pt>
                <c:pt idx="2">
                  <c:v>5.1424273814258583E-4</c:v>
                </c:pt>
                <c:pt idx="3">
                  <c:v>5.1872297866791851E-4</c:v>
                </c:pt>
                <c:pt idx="4">
                  <c:v>5.1872297866791851E-4</c:v>
                </c:pt>
                <c:pt idx="5">
                  <c:v>5.2327716857353821E-4</c:v>
                </c:pt>
                <c:pt idx="6">
                  <c:v>5.2327716857353821E-4</c:v>
                </c:pt>
                <c:pt idx="7">
                  <c:v>5.2558255661673829E-4</c:v>
                </c:pt>
                <c:pt idx="8">
                  <c:v>5.2790711373198985E-4</c:v>
                </c:pt>
                <c:pt idx="9">
                  <c:v>5.3261467863319537E-4</c:v>
                </c:pt>
                <c:pt idx="10">
                  <c:v>6.534795009809645E-4</c:v>
                </c:pt>
              </c:numCache>
            </c:numRef>
          </c:xVal>
          <c:yVal>
            <c:numRef>
              <c:f>'10_7525'!$G$21:$G$31</c:f>
              <c:numCache>
                <c:formatCode>General</c:formatCode>
                <c:ptCount val="11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  <c:pt idx="8">
                  <c:v>199.5</c:v>
                </c:pt>
                <c:pt idx="9">
                  <c:v>239.4</c:v>
                </c:pt>
                <c:pt idx="10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627064"/>
        <c:axId val="421622752"/>
      </c:scatterChart>
      <c:valAx>
        <c:axId val="421627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2752"/>
        <c:crosses val="autoZero"/>
        <c:crossBetween val="midCat"/>
      </c:valAx>
      <c:valAx>
        <c:axId val="4216227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7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4866929133858268"/>
                  <c:y val="-4.752989209682122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'10_7525'!$F$36:$F$45</c:f>
              <c:numCache>
                <c:formatCode>General</c:formatCode>
                <c:ptCount val="10"/>
                <c:pt idx="0">
                  <c:v>3.3166315450883603E-3</c:v>
                </c:pt>
                <c:pt idx="1">
                  <c:v>3.4708873458777541E-3</c:v>
                </c:pt>
                <c:pt idx="2">
                  <c:v>3.922455471491895E-3</c:v>
                </c:pt>
                <c:pt idx="3">
                  <c:v>4.026277718217495E-3</c:v>
                </c:pt>
                <c:pt idx="4">
                  <c:v>4.2501959551075989E-3</c:v>
                </c:pt>
                <c:pt idx="8">
                  <c:v>5.6327461460243889E-3</c:v>
                </c:pt>
                <c:pt idx="9">
                  <c:v>6.8323192270269553E-3</c:v>
                </c:pt>
              </c:numCache>
            </c:numRef>
          </c:xVal>
          <c:yVal>
            <c:numRef>
              <c:f>'10_7525'!$G$36:$G$45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627848"/>
        <c:axId val="421623536"/>
      </c:scatterChart>
      <c:valAx>
        <c:axId val="421627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3536"/>
        <c:crosses val="autoZero"/>
        <c:crossBetween val="midCat"/>
      </c:valAx>
      <c:valAx>
        <c:axId val="421623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7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358705161854769E-2"/>
          <c:y val="2.5428331875182269E-2"/>
          <c:w val="0.85537751531058615"/>
          <c:h val="0.841674686497521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1662751531058619"/>
                  <c:y val="2.956036745406824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'10_7525'!$F$52:$F$60</c:f>
              <c:numCache>
                <c:formatCode>General</c:formatCode>
                <c:ptCount val="9"/>
                <c:pt idx="0">
                  <c:v>1.3846929044966517E-3</c:v>
                </c:pt>
                <c:pt idx="1">
                  <c:v>1.6163556851712883E-3</c:v>
                </c:pt>
                <c:pt idx="2">
                  <c:v>1.9334342742132135E-3</c:v>
                </c:pt>
                <c:pt idx="3">
                  <c:v>1.9334342742132135E-3</c:v>
                </c:pt>
                <c:pt idx="4">
                  <c:v>3.7292401021267918E-3</c:v>
                </c:pt>
                <c:pt idx="8">
                  <c:v>4.2501959551075989E-3</c:v>
                </c:pt>
              </c:numCache>
            </c:numRef>
          </c:xVal>
          <c:yVal>
            <c:numRef>
              <c:f>'10_7525'!$G$52:$G$60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628240"/>
        <c:axId val="421627456"/>
      </c:scatterChart>
      <c:valAx>
        <c:axId val="42162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7456"/>
        <c:crosses val="autoZero"/>
        <c:crossBetween val="midCat"/>
      </c:valAx>
      <c:valAx>
        <c:axId val="421627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8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'10_7525'!$F$68:$F$72</c:f>
              <c:numCache>
                <c:formatCode>General</c:formatCode>
                <c:ptCount val="5"/>
                <c:pt idx="0">
                  <c:v>5.8396750879134646E-3</c:v>
                </c:pt>
                <c:pt idx="1">
                  <c:v>5.8396750879134646E-3</c:v>
                </c:pt>
                <c:pt idx="2">
                  <c:v>6.5557158127675817E-3</c:v>
                </c:pt>
                <c:pt idx="3">
                  <c:v>1.0831082234429018E-2</c:v>
                </c:pt>
                <c:pt idx="4">
                  <c:v>1.2382254315690646E-2</c:v>
                </c:pt>
              </c:numCache>
            </c:numRef>
          </c:xVal>
          <c:yVal>
            <c:numRef>
              <c:f>'10_7525'!$G$68:$G$72</c:f>
              <c:numCache>
                <c:formatCode>General</c:formatCode>
                <c:ptCount val="5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629024"/>
        <c:axId val="421624320"/>
      </c:scatterChart>
      <c:valAx>
        <c:axId val="42162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4320"/>
        <c:crosses val="autoZero"/>
        <c:crossBetween val="midCat"/>
      </c:valAx>
      <c:valAx>
        <c:axId val="421624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9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8085673665791777"/>
                  <c:y val="-2.412146398366870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'10_7525'!$F$84:$F$88</c:f>
              <c:numCache>
                <c:formatCode>General</c:formatCode>
                <c:ptCount val="5"/>
                <c:pt idx="0">
                  <c:v>1.4598621881382113E-3</c:v>
                </c:pt>
                <c:pt idx="1">
                  <c:v>1.4758239082886936E-3</c:v>
                </c:pt>
                <c:pt idx="2">
                  <c:v>1.8560786502070086E-3</c:v>
                </c:pt>
                <c:pt idx="3">
                  <c:v>5.6327461460243889E-3</c:v>
                </c:pt>
                <c:pt idx="4">
                  <c:v>5.8396750879134646E-3</c:v>
                </c:pt>
              </c:numCache>
            </c:numRef>
          </c:xVal>
          <c:yVal>
            <c:numRef>
              <c:f>'10_7525'!$G$84:$G$88</c:f>
              <c:numCache>
                <c:formatCode>General</c:formatCode>
                <c:ptCount val="5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628632"/>
        <c:axId val="421622360"/>
      </c:scatterChart>
      <c:valAx>
        <c:axId val="421628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2360"/>
        <c:crosses val="autoZero"/>
        <c:crossBetween val="midCat"/>
      </c:valAx>
      <c:valAx>
        <c:axId val="4216223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8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6997244094488188"/>
                  <c:y val="4.6930592009332165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'10_5050'!$F$3:$F$8</c:f>
              <c:numCache>
                <c:formatCode>General</c:formatCode>
                <c:ptCount val="6"/>
                <c:pt idx="0">
                  <c:v>1.4411183872075611E-2</c:v>
                </c:pt>
                <c:pt idx="1">
                  <c:v>1.7170208017345791E-2</c:v>
                </c:pt>
                <c:pt idx="2">
                  <c:v>1.7170208017345791E-2</c:v>
                </c:pt>
                <c:pt idx="3">
                  <c:v>1.8954708205023315E-2</c:v>
                </c:pt>
                <c:pt idx="4">
                  <c:v>2.7219444648087589E-2</c:v>
                </c:pt>
                <c:pt idx="5">
                  <c:v>3.774462345940157E-2</c:v>
                </c:pt>
              </c:numCache>
            </c:numRef>
          </c:xVal>
          <c:yVal>
            <c:numRef>
              <c:f>'10_5050'!$G$3:$G$8</c:f>
              <c:numCache>
                <c:formatCode>General</c:formatCode>
                <c:ptCount val="6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629416"/>
        <c:axId val="421625496"/>
      </c:scatterChart>
      <c:valAx>
        <c:axId val="421629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5496"/>
        <c:crosses val="autoZero"/>
        <c:crossBetween val="midCat"/>
      </c:valAx>
      <c:valAx>
        <c:axId val="421625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9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5073162729658793"/>
                  <c:y val="-3.823199183435403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'10_5050'!$F$20:$F$27</c:f>
              <c:numCache>
                <c:formatCode>General</c:formatCode>
                <c:ptCount val="8"/>
                <c:pt idx="0">
                  <c:v>2.1122934160970067E-2</c:v>
                </c:pt>
                <c:pt idx="1">
                  <c:v>2.1122934160970067E-2</c:v>
                </c:pt>
                <c:pt idx="2">
                  <c:v>2.380956131593407E-2</c:v>
                </c:pt>
                <c:pt idx="3">
                  <c:v>2.380956131593407E-2</c:v>
                </c:pt>
                <c:pt idx="4">
                  <c:v>2.7219444648087589E-2</c:v>
                </c:pt>
                <c:pt idx="5">
                  <c:v>3.774462345940157E-2</c:v>
                </c:pt>
                <c:pt idx="6">
                  <c:v>4.6433752896768397E-2</c:v>
                </c:pt>
                <c:pt idx="7">
                  <c:v>5.9835482946869113E-2</c:v>
                </c:pt>
              </c:numCache>
            </c:numRef>
          </c:xVal>
          <c:yVal>
            <c:numRef>
              <c:f>'10_5050'!$G$20:$G$27</c:f>
              <c:numCache>
                <c:formatCode>General</c:formatCode>
                <c:ptCount val="8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626280"/>
        <c:axId val="421626672"/>
      </c:scatterChart>
      <c:valAx>
        <c:axId val="421626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6672"/>
        <c:crosses val="autoZero"/>
        <c:crossBetween val="midCat"/>
      </c:valAx>
      <c:valAx>
        <c:axId val="421626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626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287073490813647"/>
                  <c:y val="-1.31014873140857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'10_5050'!$F$37:$F$45</c:f>
              <c:numCache>
                <c:formatCode>General</c:formatCode>
                <c:ptCount val="9"/>
                <c:pt idx="0">
                  <c:v>2.0464935427936043E-3</c:v>
                </c:pt>
                <c:pt idx="1">
                  <c:v>2.0464935427936043E-3</c:v>
                </c:pt>
                <c:pt idx="2">
                  <c:v>2.3917808812356119E-3</c:v>
                </c:pt>
                <c:pt idx="3">
                  <c:v>2.4743111865445011E-3</c:v>
                </c:pt>
                <c:pt idx="4">
                  <c:v>2.6086313659827404E-3</c:v>
                </c:pt>
                <c:pt idx="5">
                  <c:v>2.7060385442768003E-3</c:v>
                </c:pt>
                <c:pt idx="6">
                  <c:v>2.7573472364655128E-3</c:v>
                </c:pt>
                <c:pt idx="7">
                  <c:v>2.8105159241990389E-3</c:v>
                </c:pt>
                <c:pt idx="8">
                  <c:v>2.8656453041757948E-3</c:v>
                </c:pt>
              </c:numCache>
            </c:numRef>
          </c:xVal>
          <c:yVal>
            <c:numRef>
              <c:f>'10_5050'!$G$37:$G$45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17776"/>
        <c:axId val="424318168"/>
      </c:scatterChart>
      <c:valAx>
        <c:axId val="424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18168"/>
        <c:crosses val="autoZero"/>
        <c:crossBetween val="midCat"/>
      </c:valAx>
      <c:valAx>
        <c:axId val="424318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17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5647594050743655"/>
                  <c:y val="5.6138815981335668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'10_5050'!$F$53:$F$58</c:f>
              <c:numCache>
                <c:formatCode>General</c:formatCode>
                <c:ptCount val="6"/>
                <c:pt idx="0">
                  <c:v>7.1317091416131561E-3</c:v>
                </c:pt>
                <c:pt idx="1">
                  <c:v>8.1978484653347193E-3</c:v>
                </c:pt>
                <c:pt idx="2">
                  <c:v>1.3324488363727047E-2</c:v>
                </c:pt>
                <c:pt idx="3">
                  <c:v>1.3324488363727047E-2</c:v>
                </c:pt>
                <c:pt idx="4">
                  <c:v>1.4411183872075611E-2</c:v>
                </c:pt>
                <c:pt idx="5">
                  <c:v>1.5677368375515564E-2</c:v>
                </c:pt>
              </c:numCache>
            </c:numRef>
          </c:xVal>
          <c:yVal>
            <c:numRef>
              <c:f>'10_5050'!$G$53:$G$58</c:f>
              <c:numCache>
                <c:formatCode>General</c:formatCode>
                <c:ptCount val="6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27184"/>
        <c:axId val="424327968"/>
      </c:scatterChart>
      <c:valAx>
        <c:axId val="42432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7968"/>
        <c:crosses val="autoZero"/>
        <c:crossBetween val="midCat"/>
      </c:valAx>
      <c:valAx>
        <c:axId val="424327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7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021544181977254"/>
                  <c:y val="4.874599008457276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'10_5050'!$F$69:$F$72</c:f>
              <c:numCache>
                <c:formatCode>General</c:formatCode>
                <c:ptCount val="4"/>
                <c:pt idx="0">
                  <c:v>1.1557940943796448E-2</c:v>
                </c:pt>
                <c:pt idx="1">
                  <c:v>1.4411183872075611E-2</c:v>
                </c:pt>
                <c:pt idx="2">
                  <c:v>1.5677368375515564E-2</c:v>
                </c:pt>
                <c:pt idx="3">
                  <c:v>1.8954708205023315E-2</c:v>
                </c:pt>
              </c:numCache>
            </c:numRef>
          </c:xVal>
          <c:yVal>
            <c:numRef>
              <c:f>'10_5050'!$G$69:$G$72</c:f>
              <c:numCache>
                <c:formatCode>General</c:formatCode>
                <c:ptCount val="4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25616"/>
        <c:axId val="424328360"/>
      </c:scatterChart>
      <c:valAx>
        <c:axId val="42432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8360"/>
        <c:crosses val="autoZero"/>
        <c:crossBetween val="midCat"/>
      </c:valAx>
      <c:valAx>
        <c:axId val="4243283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5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5496194225721785"/>
                  <c:y val="6.260061242344706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'1_100percent'!$F$66:$F$77</c:f>
              <c:numCache>
                <c:formatCode>General</c:formatCode>
                <c:ptCount val="12"/>
                <c:pt idx="0">
                  <c:v>1.8560786502070086E-3</c:v>
                </c:pt>
                <c:pt idx="1">
                  <c:v>1.9884543439480438E-3</c:v>
                </c:pt>
                <c:pt idx="2">
                  <c:v>2.0767222755836167E-3</c:v>
                </c:pt>
                <c:pt idx="3">
                  <c:v>2.2413659610626821E-3</c:v>
                </c:pt>
                <c:pt idx="4">
                  <c:v>2.2772736065616657E-3</c:v>
                </c:pt>
                <c:pt idx="5">
                  <c:v>2.3524296372682851E-3</c:v>
                </c:pt>
                <c:pt idx="6">
                  <c:v>2.4323881482810543E-3</c:v>
                </c:pt>
                <c:pt idx="7">
                  <c:v>2.6086313659827404E-3</c:v>
                </c:pt>
                <c:pt idx="8">
                  <c:v>2.7573472364655128E-3</c:v>
                </c:pt>
                <c:pt idx="9">
                  <c:v>3.3921117365587512E-3</c:v>
                </c:pt>
                <c:pt idx="10">
                  <c:v>4.026277718217495E-3</c:v>
                </c:pt>
                <c:pt idx="11">
                  <c:v>4.6335008733165064E-3</c:v>
                </c:pt>
              </c:numCache>
            </c:numRef>
          </c:xVal>
          <c:yVal>
            <c:numRef>
              <c:f>'1_100percent'!$G$66:$G$77</c:f>
              <c:numCache>
                <c:formatCode>General</c:formatCode>
                <c:ptCount val="12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  <c:pt idx="10">
                  <c:v>239.4</c:v>
                </c:pt>
                <c:pt idx="11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64008"/>
        <c:axId val="193267536"/>
      </c:scatterChart>
      <c:valAx>
        <c:axId val="193264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267536"/>
        <c:crosses val="autoZero"/>
        <c:crossBetween val="midCat"/>
      </c:valAx>
      <c:valAx>
        <c:axId val="19326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3264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'10_5050'!$F$85:$F$94</c:f>
              <c:numCache>
                <c:formatCode>General</c:formatCode>
                <c:ptCount val="10"/>
                <c:pt idx="0">
                  <c:v>4.9271106179707355E-3</c:v>
                </c:pt>
                <c:pt idx="1">
                  <c:v>4.9271106179707355E-3</c:v>
                </c:pt>
                <c:pt idx="2">
                  <c:v>5.0873908443554222E-3</c:v>
                </c:pt>
                <c:pt idx="3">
                  <c:v>5.0873908443554222E-3</c:v>
                </c:pt>
                <c:pt idx="4">
                  <c:v>5.2577620881723644E-3</c:v>
                </c:pt>
                <c:pt idx="5">
                  <c:v>5.2577620881723644E-3</c:v>
                </c:pt>
                <c:pt idx="6">
                  <c:v>5.2577620881723644E-3</c:v>
                </c:pt>
                <c:pt idx="7">
                  <c:v>5.4391853589170489E-3</c:v>
                </c:pt>
                <c:pt idx="8">
                  <c:v>5.6327461460243889E-3</c:v>
                </c:pt>
                <c:pt idx="9">
                  <c:v>6.0613728780730567E-3</c:v>
                </c:pt>
              </c:numCache>
            </c:numRef>
          </c:xVal>
          <c:yVal>
            <c:numRef>
              <c:f>'10_5050'!$G$85:$G$94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19344"/>
        <c:axId val="424324048"/>
      </c:scatterChart>
      <c:valAx>
        <c:axId val="42431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4048"/>
        <c:crosses val="autoZero"/>
        <c:crossBetween val="midCat"/>
      </c:valAx>
      <c:valAx>
        <c:axId val="424324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19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1.7718066491688538E-2"/>
                  <c:y val="0.3005092592592592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'30_100percent'!$F$9:$F$14</c:f>
              <c:numCache>
                <c:formatCode>General</c:formatCode>
                <c:ptCount val="6"/>
                <c:pt idx="0">
                  <c:v>2.9181587127800082E-4</c:v>
                </c:pt>
                <c:pt idx="1">
                  <c:v>3.0292088660440755E-4</c:v>
                </c:pt>
                <c:pt idx="2">
                  <c:v>8.1697921605447207E-4</c:v>
                </c:pt>
                <c:pt idx="3">
                  <c:v>2.1078014973171261E-3</c:v>
                </c:pt>
                <c:pt idx="4">
                  <c:v>2.4743111865445011E-3</c:v>
                </c:pt>
                <c:pt idx="5">
                  <c:v>5.8396750879134646E-3</c:v>
                </c:pt>
              </c:numCache>
            </c:numRef>
          </c:xVal>
          <c:yVal>
            <c:numRef>
              <c:f>'30_100percent'!$G$9:$G$14</c:f>
              <c:numCache>
                <c:formatCode>General</c:formatCode>
                <c:ptCount val="6"/>
                <c:pt idx="0">
                  <c:v>143.64000000000001</c:v>
                </c:pt>
                <c:pt idx="1">
                  <c:v>151.62</c:v>
                </c:pt>
                <c:pt idx="2">
                  <c:v>159.60000000000002</c:v>
                </c:pt>
                <c:pt idx="3">
                  <c:v>199.5</c:v>
                </c:pt>
                <c:pt idx="4">
                  <c:v>239.4</c:v>
                </c:pt>
                <c:pt idx="5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18952"/>
        <c:axId val="424319736"/>
      </c:scatterChart>
      <c:valAx>
        <c:axId val="424318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19736"/>
        <c:crosses val="autoZero"/>
        <c:crossBetween val="midCat"/>
      </c:valAx>
      <c:valAx>
        <c:axId val="4243197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18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9235629921259843"/>
                  <c:y val="1.940252260134149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'30_100percent'!$F$25:$F$29</c:f>
              <c:numCache>
                <c:formatCode>General</c:formatCode>
                <c:ptCount val="5"/>
                <c:pt idx="0">
                  <c:v>2.8656453041757948E-3</c:v>
                </c:pt>
                <c:pt idx="1">
                  <c:v>3.2442482731988519E-3</c:v>
                </c:pt>
                <c:pt idx="2">
                  <c:v>3.3921117365587512E-3</c:v>
                </c:pt>
                <c:pt idx="3">
                  <c:v>9.0906713218758557E-3</c:v>
                </c:pt>
                <c:pt idx="4">
                  <c:v>1.1557940943796448E-2</c:v>
                </c:pt>
              </c:numCache>
            </c:numRef>
          </c:xVal>
          <c:yVal>
            <c:numRef>
              <c:f>'30_100percent'!$G$25:$G$29</c:f>
              <c:numCache>
                <c:formatCode>General</c:formatCode>
                <c:ptCount val="5"/>
                <c:pt idx="0">
                  <c:v>143.64000000000001</c:v>
                </c:pt>
                <c:pt idx="1">
                  <c:v>151.62</c:v>
                </c:pt>
                <c:pt idx="2">
                  <c:v>159.60000000000002</c:v>
                </c:pt>
                <c:pt idx="3">
                  <c:v>199.5</c:v>
                </c:pt>
                <c:pt idx="4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16992"/>
        <c:axId val="424320520"/>
      </c:scatterChart>
      <c:valAx>
        <c:axId val="42431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0520"/>
        <c:crosses val="autoZero"/>
        <c:crossBetween val="midCat"/>
      </c:valAx>
      <c:valAx>
        <c:axId val="424320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16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543943569553806"/>
                  <c:y val="2.884915427238261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'30_100percent'!$F$43:$F$46</c:f>
              <c:numCache>
                <c:formatCode>General</c:formatCode>
                <c:ptCount val="4"/>
                <c:pt idx="0">
                  <c:v>1.2543303201074511E-3</c:v>
                </c:pt>
                <c:pt idx="1">
                  <c:v>4.3711445081334706E-3</c:v>
                </c:pt>
                <c:pt idx="2">
                  <c:v>4.6335008733165064E-3</c:v>
                </c:pt>
                <c:pt idx="3">
                  <c:v>1.0831082234429018E-2</c:v>
                </c:pt>
              </c:numCache>
            </c:numRef>
          </c:xVal>
          <c:yVal>
            <c:numRef>
              <c:f>'30_100percent'!$G$43:$G$46</c:f>
              <c:numCache>
                <c:formatCode>General</c:formatCode>
                <c:ptCount val="4"/>
                <c:pt idx="0">
                  <c:v>159.60000000000002</c:v>
                </c:pt>
                <c:pt idx="1">
                  <c:v>199.5</c:v>
                </c:pt>
                <c:pt idx="2">
                  <c:v>239.4</c:v>
                </c:pt>
                <c:pt idx="3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27576"/>
        <c:axId val="424320912"/>
      </c:scatterChart>
      <c:valAx>
        <c:axId val="424327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0912"/>
        <c:crosses val="autoZero"/>
        <c:crossBetween val="midCat"/>
      </c:valAx>
      <c:valAx>
        <c:axId val="424320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7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5005161854768152"/>
                  <c:y val="6.889946048410615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'30_100percent'!$F$59:$F$62</c:f>
              <c:numCache>
                <c:formatCode>General</c:formatCode>
                <c:ptCount val="4"/>
                <c:pt idx="0">
                  <c:v>3.5656037723447696E-4</c:v>
                </c:pt>
                <c:pt idx="1">
                  <c:v>1.6554922004921116E-3</c:v>
                </c:pt>
                <c:pt idx="2">
                  <c:v>2.1078014973171261E-3</c:v>
                </c:pt>
                <c:pt idx="3">
                  <c:v>3.2442482731988519E-3</c:v>
                </c:pt>
              </c:numCache>
            </c:numRef>
          </c:xVal>
          <c:yVal>
            <c:numRef>
              <c:f>'30_100percent'!$G$59:$G$62</c:f>
              <c:numCache>
                <c:formatCode>General</c:formatCode>
                <c:ptCount val="4"/>
                <c:pt idx="0">
                  <c:v>159.60000000000002</c:v>
                </c:pt>
                <c:pt idx="1">
                  <c:v>199.5</c:v>
                </c:pt>
                <c:pt idx="2">
                  <c:v>239.4</c:v>
                </c:pt>
                <c:pt idx="3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24832"/>
        <c:axId val="424321304"/>
      </c:scatterChart>
      <c:valAx>
        <c:axId val="42432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1304"/>
        <c:crosses val="autoZero"/>
        <c:crossBetween val="midCat"/>
      </c:valAx>
      <c:valAx>
        <c:axId val="424321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4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8279024496937879"/>
                  <c:y val="-3.2031933508311463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'30_100percent'!$F$70:$F$77</c:f>
              <c:numCache>
                <c:formatCode>General</c:formatCode>
                <c:ptCount val="8"/>
                <c:pt idx="0">
                  <c:v>3.3848982072749961E-4</c:v>
                </c:pt>
                <c:pt idx="1">
                  <c:v>4.6019123077467204E-4</c:v>
                </c:pt>
                <c:pt idx="2">
                  <c:v>4.6382450642295164E-4</c:v>
                </c:pt>
                <c:pt idx="3">
                  <c:v>5.5738646972540136E-4</c:v>
                </c:pt>
                <c:pt idx="4">
                  <c:v>7.4408946096011185E-4</c:v>
                </c:pt>
                <c:pt idx="5">
                  <c:v>1.3035956241437261E-3</c:v>
                </c:pt>
                <c:pt idx="6">
                  <c:v>3.922455471491895E-3</c:v>
                </c:pt>
                <c:pt idx="7">
                  <c:v>5.4391853589170489E-3</c:v>
                </c:pt>
              </c:numCache>
            </c:numRef>
          </c:xVal>
          <c:yVal>
            <c:numRef>
              <c:f>'30_100percent'!$G$70:$G$77</c:f>
              <c:numCache>
                <c:formatCode>General</c:formatCode>
                <c:ptCount val="8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  <c:pt idx="6">
                  <c:v>239.4</c:v>
                </c:pt>
                <c:pt idx="7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21696"/>
        <c:axId val="424322088"/>
      </c:scatterChart>
      <c:valAx>
        <c:axId val="42432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2088"/>
        <c:crosses val="autoZero"/>
        <c:crossBetween val="midCat"/>
      </c:valAx>
      <c:valAx>
        <c:axId val="424322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1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7471325459317585"/>
                  <c:y val="4.118000874890638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'30_100percent'!$F$85:$F$91</c:f>
              <c:numCache>
                <c:formatCode>General</c:formatCode>
                <c:ptCount val="7"/>
                <c:pt idx="0">
                  <c:v>3.1747788941022567E-3</c:v>
                </c:pt>
                <c:pt idx="1">
                  <c:v>4.3711445081334706E-3</c:v>
                </c:pt>
                <c:pt idx="2">
                  <c:v>4.6335008733165064E-3</c:v>
                </c:pt>
                <c:pt idx="3">
                  <c:v>5.2577620881723644E-3</c:v>
                </c:pt>
                <c:pt idx="4">
                  <c:v>5.4391853589170489E-3</c:v>
                </c:pt>
                <c:pt idx="5">
                  <c:v>6.299440453199451E-3</c:v>
                </c:pt>
                <c:pt idx="6">
                  <c:v>1.0185650959234835E-2</c:v>
                </c:pt>
              </c:numCache>
            </c:numRef>
          </c:xVal>
          <c:yVal>
            <c:numRef>
              <c:f>'30_100percent'!$G$85:$G$91</c:f>
              <c:numCache>
                <c:formatCode>General</c:formatCode>
                <c:ptCount val="7"/>
                <c:pt idx="0">
                  <c:v>127.68</c:v>
                </c:pt>
                <c:pt idx="1">
                  <c:v>135.66</c:v>
                </c:pt>
                <c:pt idx="2">
                  <c:v>143.64000000000001</c:v>
                </c:pt>
                <c:pt idx="3">
                  <c:v>151.62</c:v>
                </c:pt>
                <c:pt idx="4">
                  <c:v>159.60000000000002</c:v>
                </c:pt>
                <c:pt idx="5">
                  <c:v>199.5</c:v>
                </c:pt>
                <c:pt idx="6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26008"/>
        <c:axId val="424323656"/>
      </c:scatterChart>
      <c:valAx>
        <c:axId val="424326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3656"/>
        <c:crosses val="autoZero"/>
        <c:crossBetween val="midCat"/>
      </c:valAx>
      <c:valAx>
        <c:axId val="424323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6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1073665791776028"/>
                  <c:y val="3.439340915718868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'30_7525'!$F$6:$F$14</c:f>
              <c:numCache>
                <c:formatCode>General</c:formatCode>
                <c:ptCount val="9"/>
                <c:pt idx="0">
                  <c:v>1.9069851986305069E-3</c:v>
                </c:pt>
                <c:pt idx="1">
                  <c:v>2.1397668059655252E-3</c:v>
                </c:pt>
                <c:pt idx="2">
                  <c:v>3.8235546144592112E-3</c:v>
                </c:pt>
                <c:pt idx="3">
                  <c:v>4.4987298993004231E-3</c:v>
                </c:pt>
                <c:pt idx="4">
                  <c:v>5.0873908443554222E-3</c:v>
                </c:pt>
                <c:pt idx="5">
                  <c:v>5.6327461460243889E-3</c:v>
                </c:pt>
                <c:pt idx="6">
                  <c:v>8.6225865556297E-3</c:v>
                </c:pt>
                <c:pt idx="7">
                  <c:v>1.0185650959234835E-2</c:v>
                </c:pt>
                <c:pt idx="8">
                  <c:v>1.7170208017345791E-2</c:v>
                </c:pt>
              </c:numCache>
            </c:numRef>
          </c:xVal>
          <c:yVal>
            <c:numRef>
              <c:f>'30_7525'!$G$6:$G$14</c:f>
              <c:numCache>
                <c:formatCode>General</c:formatCode>
                <c:ptCount val="9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  <c:pt idx="6">
                  <c:v>199.5</c:v>
                </c:pt>
                <c:pt idx="7">
                  <c:v>239.4</c:v>
                </c:pt>
                <c:pt idx="8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24440"/>
        <c:axId val="424329928"/>
      </c:scatterChart>
      <c:valAx>
        <c:axId val="424324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9928"/>
        <c:crosses val="autoZero"/>
        <c:crossBetween val="midCat"/>
      </c:valAx>
      <c:valAx>
        <c:axId val="424329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44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668110236220468"/>
                  <c:y val="-5.390347039953339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'30_7525'!$F$22:$F$29</c:f>
              <c:numCache>
                <c:formatCode>General</c:formatCode>
                <c:ptCount val="8"/>
                <c:pt idx="0">
                  <c:v>4.2660412238140766E-4</c:v>
                </c:pt>
                <c:pt idx="1">
                  <c:v>7.3966404782420598E-4</c:v>
                </c:pt>
                <c:pt idx="2">
                  <c:v>7.4408946096011185E-4</c:v>
                </c:pt>
                <c:pt idx="3">
                  <c:v>7.4856491480596E-4</c:v>
                </c:pt>
                <c:pt idx="4">
                  <c:v>7.4856491480596E-4</c:v>
                </c:pt>
                <c:pt idx="5">
                  <c:v>1.6964489887948682E-3</c:v>
                </c:pt>
                <c:pt idx="6">
                  <c:v>1.6964489887948682E-3</c:v>
                </c:pt>
                <c:pt idx="7">
                  <c:v>1.7176492392183068E-3</c:v>
                </c:pt>
              </c:numCache>
            </c:numRef>
          </c:xVal>
          <c:yVal>
            <c:numRef>
              <c:f>'30_7525'!$G$22:$G$29</c:f>
              <c:numCache>
                <c:formatCode>General</c:formatCode>
                <c:ptCount val="8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  <c:pt idx="6">
                  <c:v>199.5</c:v>
                </c:pt>
                <c:pt idx="7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32672"/>
        <c:axId val="424332280"/>
      </c:scatterChart>
      <c:valAx>
        <c:axId val="42433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32280"/>
        <c:crosses val="autoZero"/>
        <c:crossBetween val="midCat"/>
      </c:valAx>
      <c:valAx>
        <c:axId val="424332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32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3493897637795275"/>
                  <c:y val="8.275371828521434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'30_7525'!$F$36:$F$43</c:f>
              <c:numCache>
                <c:formatCode>General</c:formatCode>
                <c:ptCount val="8"/>
                <c:pt idx="0">
                  <c:v>6.5001055972464783E-4</c:v>
                </c:pt>
                <c:pt idx="1">
                  <c:v>1.0116211001847625E-3</c:v>
                </c:pt>
                <c:pt idx="2">
                  <c:v>1.0442955696210426E-3</c:v>
                </c:pt>
                <c:pt idx="3">
                  <c:v>1.3035956241437261E-3</c:v>
                </c:pt>
                <c:pt idx="4">
                  <c:v>1.316484621969535E-3</c:v>
                </c:pt>
                <c:pt idx="5">
                  <c:v>1.3296153039165969E-3</c:v>
                </c:pt>
                <c:pt idx="6">
                  <c:v>1.4138686623479033E-3</c:v>
                </c:pt>
                <c:pt idx="7">
                  <c:v>1.4598621881382113E-3</c:v>
                </c:pt>
              </c:numCache>
            </c:numRef>
          </c:xVal>
          <c:yVal>
            <c:numRef>
              <c:f>'30_7525'!$G$36:$G$43</c:f>
              <c:numCache>
                <c:formatCode>General</c:formatCode>
                <c:ptCount val="8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31104"/>
        <c:axId val="424329536"/>
      </c:scatterChart>
      <c:valAx>
        <c:axId val="42433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29536"/>
        <c:crosses val="autoZero"/>
        <c:crossBetween val="midCat"/>
      </c:valAx>
      <c:valAx>
        <c:axId val="424329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31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7.8287182852143478E-2"/>
                  <c:y val="6.030657626130066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'1_100percent'!$F$82:$F$89</c:f>
              <c:numCache>
                <c:formatCode>General</c:formatCode>
                <c:ptCount val="8"/>
                <c:pt idx="0">
                  <c:v>4.7125517425663241E-4</c:v>
                </c:pt>
                <c:pt idx="1">
                  <c:v>5.5998307012995968E-4</c:v>
                </c:pt>
                <c:pt idx="2">
                  <c:v>5.7605274268125544E-4</c:v>
                </c:pt>
                <c:pt idx="3">
                  <c:v>6.1713687531504897E-4</c:v>
                </c:pt>
                <c:pt idx="4">
                  <c:v>6.431755523493793E-4</c:v>
                </c:pt>
                <c:pt idx="5">
                  <c:v>6.431755523493793E-4</c:v>
                </c:pt>
                <c:pt idx="6">
                  <c:v>6.4657607690916193E-4</c:v>
                </c:pt>
                <c:pt idx="7">
                  <c:v>6.4657607690916193E-4</c:v>
                </c:pt>
              </c:numCache>
            </c:numRef>
          </c:xVal>
          <c:yVal>
            <c:numRef>
              <c:f>'1_100percent'!$G$82:$G$89</c:f>
              <c:numCache>
                <c:formatCode>General</c:formatCode>
                <c:ptCount val="8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510352"/>
        <c:axId val="419510744"/>
      </c:scatterChart>
      <c:valAx>
        <c:axId val="4195103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0744"/>
        <c:crosses val="autoZero"/>
        <c:crossBetween val="midCat"/>
      </c:valAx>
      <c:valAx>
        <c:axId val="419510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510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8448140857392825"/>
                  <c:y val="1.874015748031496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'30_7525'!$F$52:$F$59</c:f>
              <c:numCache>
                <c:formatCode>General</c:formatCode>
                <c:ptCount val="8"/>
                <c:pt idx="0">
                  <c:v>7.5309124448194283E-4</c:v>
                </c:pt>
                <c:pt idx="1">
                  <c:v>7.8627423847093473E-4</c:v>
                </c:pt>
                <c:pt idx="2">
                  <c:v>9.5884888630921763E-4</c:v>
                </c:pt>
                <c:pt idx="3">
                  <c:v>9.5884888630921763E-4</c:v>
                </c:pt>
                <c:pt idx="4">
                  <c:v>9.8835141179445547E-4</c:v>
                </c:pt>
                <c:pt idx="5">
                  <c:v>9.8835141179445547E-4</c:v>
                </c:pt>
                <c:pt idx="6">
                  <c:v>9.8835141179445547E-4</c:v>
                </c:pt>
                <c:pt idx="7">
                  <c:v>1.1974726257596542E-3</c:v>
                </c:pt>
              </c:numCache>
            </c:numRef>
          </c:xVal>
          <c:yVal>
            <c:numRef>
              <c:f>'30_7525'!$G$52:$G$59</c:f>
              <c:numCache>
                <c:formatCode>General</c:formatCode>
                <c:ptCount val="8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4330320"/>
        <c:axId val="425542880"/>
      </c:scatterChart>
      <c:valAx>
        <c:axId val="42433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2880"/>
        <c:crosses val="autoZero"/>
        <c:crossBetween val="midCat"/>
      </c:valAx>
      <c:valAx>
        <c:axId val="4255428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4330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2530818022747157"/>
                  <c:y val="-3.475539515893846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'30_7525'!$F$69:$F$76</c:f>
              <c:numCache>
                <c:formatCode>General</c:formatCode>
                <c:ptCount val="8"/>
                <c:pt idx="0">
                  <c:v>3.096300366273223E-4</c:v>
                </c:pt>
                <c:pt idx="1">
                  <c:v>3.2023357513270286E-4</c:v>
                </c:pt>
                <c:pt idx="2">
                  <c:v>7.7651658213313368E-4</c:v>
                </c:pt>
                <c:pt idx="3">
                  <c:v>1.5087514015687832E-3</c:v>
                </c:pt>
                <c:pt idx="4">
                  <c:v>2.6564958614843717E-3</c:v>
                </c:pt>
                <c:pt idx="5">
                  <c:v>3.0439184099768663E-3</c:v>
                </c:pt>
                <c:pt idx="6">
                  <c:v>3.10805438276914E-3</c:v>
                </c:pt>
                <c:pt idx="7">
                  <c:v>6.5557158127675817E-3</c:v>
                </c:pt>
              </c:numCache>
            </c:numRef>
          </c:xVal>
          <c:yVal>
            <c:numRef>
              <c:f>'30_7525'!$G$69:$G$76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5624"/>
        <c:axId val="425545232"/>
      </c:scatterChart>
      <c:valAx>
        <c:axId val="425545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5232"/>
        <c:crosses val="autoZero"/>
        <c:crossBetween val="midCat"/>
      </c:valAx>
      <c:valAx>
        <c:axId val="425545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5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450043744531934"/>
                  <c:y val="2.99660979877515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'30_7525'!$F$85:$F$94</c:f>
              <c:numCache>
                <c:formatCode>General</c:formatCode>
                <c:ptCount val="10"/>
                <c:pt idx="0">
                  <c:v>6.8323192270269553E-3</c:v>
                </c:pt>
                <c:pt idx="1">
                  <c:v>6.8323192270269553E-3</c:v>
                </c:pt>
                <c:pt idx="2">
                  <c:v>7.4567518401223581E-3</c:v>
                </c:pt>
                <c:pt idx="3">
                  <c:v>7.4567518401223581E-3</c:v>
                </c:pt>
                <c:pt idx="4">
                  <c:v>8.1978484653347193E-3</c:v>
                </c:pt>
                <c:pt idx="5">
                  <c:v>8.1978484653347193E-3</c:v>
                </c:pt>
                <c:pt idx="6">
                  <c:v>9.0906713218758557E-3</c:v>
                </c:pt>
                <c:pt idx="7">
                  <c:v>1.5677368375515564E-2</c:v>
                </c:pt>
                <c:pt idx="8">
                  <c:v>2.7219444648087589E-2</c:v>
                </c:pt>
                <c:pt idx="9">
                  <c:v>3.774462345940157E-2</c:v>
                </c:pt>
              </c:numCache>
            </c:numRef>
          </c:xVal>
          <c:yVal>
            <c:numRef>
              <c:f>'30_7525'!$G$85:$G$94</c:f>
              <c:numCache>
                <c:formatCode>General</c:formatCode>
                <c:ptCount val="10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  <c:pt idx="8">
                  <c:v>239.4</c:v>
                </c:pt>
                <c:pt idx="9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2488"/>
        <c:axId val="425537784"/>
      </c:scatterChart>
      <c:valAx>
        <c:axId val="425542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37784"/>
        <c:crosses val="autoZero"/>
        <c:crossBetween val="midCat"/>
      </c:valAx>
      <c:valAx>
        <c:axId val="425537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2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4693547681539806"/>
                  <c:y val="-4.073673082531350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'30_9010'!$F$4:$F$14</c:f>
              <c:numCache>
                <c:formatCode>General</c:formatCode>
                <c:ptCount val="11"/>
                <c:pt idx="0">
                  <c:v>2.4323881482810543E-3</c:v>
                </c:pt>
                <c:pt idx="1">
                  <c:v>2.4323881482810543E-3</c:v>
                </c:pt>
                <c:pt idx="2">
                  <c:v>3.4708873458777541E-3</c:v>
                </c:pt>
                <c:pt idx="3">
                  <c:v>3.7292401021267918E-3</c:v>
                </c:pt>
                <c:pt idx="4">
                  <c:v>3.8235546144592112E-3</c:v>
                </c:pt>
                <c:pt idx="5">
                  <c:v>4.1353894490911668E-3</c:v>
                </c:pt>
                <c:pt idx="6">
                  <c:v>6.0613728780730567E-3</c:v>
                </c:pt>
                <c:pt idx="7">
                  <c:v>6.299440453199451E-3</c:v>
                </c:pt>
                <c:pt idx="8">
                  <c:v>7.4567518401223581E-3</c:v>
                </c:pt>
                <c:pt idx="9">
                  <c:v>8.6225865556297E-3</c:v>
                </c:pt>
                <c:pt idx="10">
                  <c:v>9.6089228144152165E-3</c:v>
                </c:pt>
              </c:numCache>
            </c:numRef>
          </c:xVal>
          <c:yVal>
            <c:numRef>
              <c:f>'30_9010'!$G$4:$G$14</c:f>
              <c:numCache>
                <c:formatCode>General</c:formatCode>
                <c:ptCount val="11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  <c:pt idx="8">
                  <c:v>199.5</c:v>
                </c:pt>
                <c:pt idx="9">
                  <c:v>239.4</c:v>
                </c:pt>
                <c:pt idx="10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7976"/>
        <c:axId val="425546016"/>
      </c:scatterChart>
      <c:valAx>
        <c:axId val="425547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6016"/>
        <c:crosses val="autoZero"/>
        <c:crossBetween val="midCat"/>
      </c:valAx>
      <c:valAx>
        <c:axId val="425546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7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8394925634295715"/>
                  <c:y val="6.902777777777777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'30_9010'!$F$20:$F$26</c:f>
              <c:numCache>
                <c:formatCode>General</c:formatCode>
                <c:ptCount val="7"/>
                <c:pt idx="0">
                  <c:v>3.8154235959900407E-4</c:v>
                </c:pt>
                <c:pt idx="1">
                  <c:v>4.2975341875604639E-4</c:v>
                </c:pt>
                <c:pt idx="2">
                  <c:v>4.9702707969602456E-4</c:v>
                </c:pt>
                <c:pt idx="3">
                  <c:v>4.9702707969602456E-4</c:v>
                </c:pt>
                <c:pt idx="4">
                  <c:v>5.6260250525163571E-4</c:v>
                </c:pt>
                <c:pt idx="5">
                  <c:v>6.9799069762664298E-4</c:v>
                </c:pt>
                <c:pt idx="6">
                  <c:v>7.0195790391806693E-4</c:v>
                </c:pt>
              </c:numCache>
            </c:numRef>
          </c:xVal>
          <c:yVal>
            <c:numRef>
              <c:f>'30_9010'!$G$20:$G$26</c:f>
              <c:numCache>
                <c:formatCode>General</c:formatCode>
                <c:ptCount val="7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6408"/>
        <c:axId val="425548760"/>
      </c:scatterChart>
      <c:valAx>
        <c:axId val="425546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8760"/>
        <c:crosses val="autoZero"/>
        <c:crossBetween val="midCat"/>
      </c:valAx>
      <c:valAx>
        <c:axId val="425548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6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6592388451443569"/>
                  <c:y val="3.2877661125692622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'30_9010'!$F$37:$F$43</c:f>
              <c:numCache>
                <c:formatCode>General</c:formatCode>
                <c:ptCount val="7"/>
                <c:pt idx="0">
                  <c:v>1.2084525518704971E-3</c:v>
                </c:pt>
                <c:pt idx="1">
                  <c:v>1.2543303201074511E-3</c:v>
                </c:pt>
                <c:pt idx="2">
                  <c:v>1.2785170080307229E-3</c:v>
                </c:pt>
                <c:pt idx="3">
                  <c:v>1.290941835523082E-3</c:v>
                </c:pt>
                <c:pt idx="4">
                  <c:v>1.3035956241437261E-3</c:v>
                </c:pt>
                <c:pt idx="5">
                  <c:v>1.316484621969535E-3</c:v>
                </c:pt>
                <c:pt idx="6">
                  <c:v>1.3296153039165969E-3</c:v>
                </c:pt>
              </c:numCache>
            </c:numRef>
          </c:xVal>
          <c:yVal>
            <c:numRef>
              <c:f>'30_9010'!$G$37:$G$43</c:f>
              <c:numCache>
                <c:formatCode>General</c:formatCode>
                <c:ptCount val="7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4840"/>
        <c:axId val="425547584"/>
      </c:scatterChart>
      <c:valAx>
        <c:axId val="42554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7584"/>
        <c:crosses val="autoZero"/>
        <c:crossBetween val="midCat"/>
      </c:valAx>
      <c:valAx>
        <c:axId val="42554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4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0106430446194226"/>
                  <c:y val="-0.1433752551764362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'30_9010'!$F$53:$F$60</c:f>
              <c:numCache>
                <c:formatCode>General</c:formatCode>
                <c:ptCount val="8"/>
                <c:pt idx="0">
                  <c:v>5.6260250525163571E-4</c:v>
                </c:pt>
                <c:pt idx="1">
                  <c:v>6.018477646035482E-4</c:v>
                </c:pt>
                <c:pt idx="2">
                  <c:v>6.0484830046987517E-4</c:v>
                </c:pt>
                <c:pt idx="3">
                  <c:v>1.3846929044966517E-3</c:v>
                </c:pt>
                <c:pt idx="4">
                  <c:v>1.4758239082886936E-3</c:v>
                </c:pt>
                <c:pt idx="5">
                  <c:v>1.7615783538862642E-3</c:v>
                </c:pt>
                <c:pt idx="6">
                  <c:v>1.7615783538862642E-3</c:v>
                </c:pt>
                <c:pt idx="7">
                  <c:v>1.9884543439480438E-3</c:v>
                </c:pt>
              </c:numCache>
            </c:numRef>
          </c:xVal>
          <c:yVal>
            <c:numRef>
              <c:f>'30_9010'!$G$53:$G$60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7192"/>
        <c:axId val="425548368"/>
      </c:scatterChart>
      <c:valAx>
        <c:axId val="425547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8368"/>
        <c:crosses val="autoZero"/>
        <c:crossBetween val="midCat"/>
      </c:valAx>
      <c:valAx>
        <c:axId val="425548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7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9137992125984252"/>
                  <c:y val="-2.221821230679498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'30_9010'!$F$70:$F$77</c:f>
              <c:numCache>
                <c:formatCode>General</c:formatCode>
                <c:ptCount val="8"/>
                <c:pt idx="0">
                  <c:v>1.6357039178369838E-3</c:v>
                </c:pt>
                <c:pt idx="1">
                  <c:v>2.3524296372682851E-3</c:v>
                </c:pt>
                <c:pt idx="2">
                  <c:v>6.0613728780730567E-3</c:v>
                </c:pt>
                <c:pt idx="3">
                  <c:v>6.299440453199451E-3</c:v>
                </c:pt>
                <c:pt idx="4">
                  <c:v>6.299440453199451E-3</c:v>
                </c:pt>
                <c:pt idx="5">
                  <c:v>6.299440453199451E-3</c:v>
                </c:pt>
                <c:pt idx="6">
                  <c:v>8.6225865556297E-3</c:v>
                </c:pt>
                <c:pt idx="7">
                  <c:v>1.0185650959234835E-2</c:v>
                </c:pt>
              </c:numCache>
            </c:numRef>
          </c:xVal>
          <c:yVal>
            <c:numRef>
              <c:f>'30_9010'!$G$70:$G$77</c:f>
              <c:numCache>
                <c:formatCode>General</c:formatCode>
                <c:ptCount val="8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  <c:pt idx="6">
                  <c:v>199.5</c:v>
                </c:pt>
                <c:pt idx="7">
                  <c:v>239.4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37000"/>
        <c:axId val="425543272"/>
      </c:scatterChart>
      <c:valAx>
        <c:axId val="425537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3272"/>
        <c:crosses val="autoZero"/>
        <c:crossBetween val="midCat"/>
      </c:valAx>
      <c:valAx>
        <c:axId val="425543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370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2158705161854769"/>
                  <c:y val="1.347222222222222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'30_9010'!$F$85:$F$93</c:f>
              <c:numCache>
                <c:formatCode>General</c:formatCode>
                <c:ptCount val="9"/>
                <c:pt idx="0">
                  <c:v>3.8027855608536217E-4</c:v>
                </c:pt>
                <c:pt idx="1">
                  <c:v>4.3294670880154645E-4</c:v>
                </c:pt>
                <c:pt idx="2">
                  <c:v>4.3456013429150149E-4</c:v>
                </c:pt>
                <c:pt idx="3">
                  <c:v>2.0464935427936043E-3</c:v>
                </c:pt>
                <c:pt idx="4">
                  <c:v>2.0464935427936043E-3</c:v>
                </c:pt>
                <c:pt idx="5">
                  <c:v>2.1078014973171261E-3</c:v>
                </c:pt>
                <c:pt idx="6">
                  <c:v>2.2065081742912848E-3</c:v>
                </c:pt>
                <c:pt idx="7">
                  <c:v>5.0873908443554222E-3</c:v>
                </c:pt>
                <c:pt idx="8">
                  <c:v>1.5677368375515564E-2</c:v>
                </c:pt>
              </c:numCache>
            </c:numRef>
          </c:xVal>
          <c:yVal>
            <c:numRef>
              <c:f>'30_9010'!$G$85:$G$93</c:f>
              <c:numCache>
                <c:formatCode>General</c:formatCode>
                <c:ptCount val="9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  <c:pt idx="6">
                  <c:v>199.5</c:v>
                </c:pt>
                <c:pt idx="7">
                  <c:v>239.4</c:v>
                </c:pt>
                <c:pt idx="8">
                  <c:v>319.20000000000005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37392"/>
        <c:axId val="425539352"/>
      </c:scatterChart>
      <c:valAx>
        <c:axId val="42553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39352"/>
        <c:crosses val="autoZero"/>
        <c:crossBetween val="midCat"/>
      </c:valAx>
      <c:valAx>
        <c:axId val="425539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37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945691163604548"/>
                  <c:y val="-0.1090102799650043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'30_5050'!$F$5:$F$12</c:f>
              <c:numCache>
                <c:formatCode>General</c:formatCode>
                <c:ptCount val="8"/>
                <c:pt idx="0">
                  <c:v>4.8680783698676474E-4</c:v>
                </c:pt>
                <c:pt idx="1">
                  <c:v>1.1760663803770124E-3</c:v>
                </c:pt>
                <c:pt idx="2">
                  <c:v>1.5430876982370939E-3</c:v>
                </c:pt>
                <c:pt idx="3">
                  <c:v>2.8656453041757948E-3</c:v>
                </c:pt>
                <c:pt idx="4">
                  <c:v>2.9228433890545022E-3</c:v>
                </c:pt>
                <c:pt idx="5">
                  <c:v>2.982226179283419E-3</c:v>
                </c:pt>
                <c:pt idx="6">
                  <c:v>3.10805438276914E-3</c:v>
                </c:pt>
                <c:pt idx="7">
                  <c:v>5.4391853589170489E-3</c:v>
                </c:pt>
              </c:numCache>
            </c:numRef>
          </c:xVal>
          <c:yVal>
            <c:numRef>
              <c:f>'30_5050'!$G$5:$G$12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1312"/>
        <c:axId val="425539744"/>
      </c:scatterChart>
      <c:valAx>
        <c:axId val="42554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39744"/>
        <c:crosses val="autoZero"/>
        <c:crossBetween val="midCat"/>
      </c:valAx>
      <c:valAx>
        <c:axId val="42553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1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0646412948381451"/>
                  <c:y val="2.323199183435403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'1_100percent'!$AA$6:$AA$14</c:f>
              <c:numCache>
                <c:formatCode>General</c:formatCode>
                <c:ptCount val="9"/>
                <c:pt idx="0">
                  <c:v>1.1557940943796448E-2</c:v>
                </c:pt>
                <c:pt idx="1">
                  <c:v>1.3324488363727047E-2</c:v>
                </c:pt>
                <c:pt idx="2">
                  <c:v>1.3324488363727047E-2</c:v>
                </c:pt>
                <c:pt idx="3">
                  <c:v>1.3324488363727047E-2</c:v>
                </c:pt>
                <c:pt idx="4">
                  <c:v>1.5677368375515564E-2</c:v>
                </c:pt>
                <c:pt idx="5">
                  <c:v>1.7170208017345791E-2</c:v>
                </c:pt>
                <c:pt idx="6">
                  <c:v>1.8954708205023315E-2</c:v>
                </c:pt>
                <c:pt idx="7">
                  <c:v>2.1122934160970067E-2</c:v>
                </c:pt>
                <c:pt idx="8">
                  <c:v>2.380956131593407E-2</c:v>
                </c:pt>
              </c:numCache>
            </c:numRef>
          </c:xVal>
          <c:yVal>
            <c:numRef>
              <c:f>'1_100percent'!$AB$6:$AB$14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977912"/>
        <c:axId val="421979480"/>
      </c:scatterChart>
      <c:valAx>
        <c:axId val="421977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9480"/>
        <c:crosses val="autoZero"/>
        <c:crossBetween val="midCat"/>
      </c:valAx>
      <c:valAx>
        <c:axId val="421979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7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5905949256342958"/>
                  <c:y val="-3.367672790901137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'30_5050'!$F$23:$F$30</c:f>
              <c:numCache>
                <c:formatCode>General</c:formatCode>
                <c:ptCount val="8"/>
                <c:pt idx="0">
                  <c:v>7.352878582630992E-4</c:v>
                </c:pt>
                <c:pt idx="1">
                  <c:v>7.4408946096011185E-4</c:v>
                </c:pt>
                <c:pt idx="2">
                  <c:v>7.8627423847093473E-4</c:v>
                </c:pt>
                <c:pt idx="3">
                  <c:v>8.8566265243566512E-4</c:v>
                </c:pt>
                <c:pt idx="4">
                  <c:v>9.4471080111264505E-4</c:v>
                </c:pt>
                <c:pt idx="5">
                  <c:v>1.0527761143677887E-3</c:v>
                </c:pt>
                <c:pt idx="6">
                  <c:v>1.0790121329768575E-3</c:v>
                </c:pt>
                <c:pt idx="7">
                  <c:v>1.6757353843407509E-3</c:v>
                </c:pt>
              </c:numCache>
            </c:numRef>
          </c:xVal>
          <c:yVal>
            <c:numRef>
              <c:f>'30_5050'!$G$23:$G$30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0528"/>
        <c:axId val="425541704"/>
      </c:scatterChart>
      <c:valAx>
        <c:axId val="42554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1704"/>
        <c:crosses val="autoZero"/>
        <c:crossBetween val="midCat"/>
      </c:valAx>
      <c:valAx>
        <c:axId val="425541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05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840748031496064"/>
                  <c:y val="-5.447725284339457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'30_5050'!$F$38:$F$45</c:f>
              <c:numCache>
                <c:formatCode>General</c:formatCode>
                <c:ptCount val="8"/>
                <c:pt idx="0">
                  <c:v>7.6229996471168296E-4</c:v>
                </c:pt>
                <c:pt idx="1">
                  <c:v>9.6606803905959339E-4</c:v>
                </c:pt>
                <c:pt idx="2">
                  <c:v>9.8081710528519217E-4</c:v>
                </c:pt>
                <c:pt idx="3">
                  <c:v>9.9599526565887983E-4</c:v>
                </c:pt>
                <c:pt idx="4">
                  <c:v>3.7292401021267918E-3</c:v>
                </c:pt>
                <c:pt idx="5">
                  <c:v>3.8235546144592112E-3</c:v>
                </c:pt>
                <c:pt idx="6">
                  <c:v>4.026277718217495E-3</c:v>
                </c:pt>
                <c:pt idx="7">
                  <c:v>1.0185650959234835E-2</c:v>
                </c:pt>
              </c:numCache>
            </c:numRef>
          </c:xVal>
          <c:yVal>
            <c:numRef>
              <c:f>'30_5050'!$G$38:$G$45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49936"/>
        <c:axId val="425551112"/>
      </c:scatterChart>
      <c:valAx>
        <c:axId val="42554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51112"/>
        <c:crosses val="autoZero"/>
        <c:crossBetween val="midCat"/>
      </c:valAx>
      <c:valAx>
        <c:axId val="4255511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9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8344685039370079"/>
                  <c:y val="-9.154527559055118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'30_5050'!$F$54:$F$61</c:f>
              <c:numCache>
                <c:formatCode>General</c:formatCode>
                <c:ptCount val="8"/>
                <c:pt idx="0">
                  <c:v>7.5309124448194283E-4</c:v>
                </c:pt>
                <c:pt idx="1">
                  <c:v>1.2196232915589369E-3</c:v>
                </c:pt>
                <c:pt idx="2">
                  <c:v>1.2309897529687766E-3</c:v>
                </c:pt>
                <c:pt idx="3">
                  <c:v>1.2309897529687766E-3</c:v>
                </c:pt>
                <c:pt idx="4">
                  <c:v>1.2425570121217897E-3</c:v>
                </c:pt>
                <c:pt idx="5">
                  <c:v>1.2425570121217897E-3</c:v>
                </c:pt>
                <c:pt idx="6">
                  <c:v>1.2543303201074511E-3</c:v>
                </c:pt>
                <c:pt idx="7">
                  <c:v>1.5608120709986529E-3</c:v>
                </c:pt>
              </c:numCache>
            </c:numRef>
          </c:xVal>
          <c:yVal>
            <c:numRef>
              <c:f>'30_5050'!$G$54:$G$61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50328"/>
        <c:axId val="425551504"/>
      </c:scatterChart>
      <c:valAx>
        <c:axId val="425550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51504"/>
        <c:crosses val="autoZero"/>
        <c:crossBetween val="midCat"/>
      </c:valAx>
      <c:valAx>
        <c:axId val="425551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503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0614982502187226"/>
                  <c:y val="-5.944006999125109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'30_5050'!$F$70:$F$75</c:f>
              <c:numCache>
                <c:formatCode>General</c:formatCode>
                <c:ptCount val="6"/>
                <c:pt idx="0">
                  <c:v>4.3456013429150149E-4</c:v>
                </c:pt>
                <c:pt idx="1">
                  <c:v>4.3618490068759173E-4</c:v>
                </c:pt>
                <c:pt idx="2">
                  <c:v>4.6566143462066983E-4</c:v>
                </c:pt>
                <c:pt idx="3">
                  <c:v>4.675120875760057E-4</c:v>
                </c:pt>
                <c:pt idx="4">
                  <c:v>4.6937661636301805E-4</c:v>
                </c:pt>
                <c:pt idx="5">
                  <c:v>4.6937661636301805E-4</c:v>
                </c:pt>
              </c:numCache>
            </c:numRef>
          </c:xVal>
          <c:yVal>
            <c:numRef>
              <c:f>'30_5050'!$G$70:$G$75</c:f>
              <c:numCache>
                <c:formatCode>General</c:formatCode>
                <c:ptCount val="6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5552288"/>
        <c:axId val="425549152"/>
      </c:scatterChart>
      <c:valAx>
        <c:axId val="42555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49152"/>
        <c:crosses val="autoZero"/>
        <c:crossBetween val="midCat"/>
      </c:valAx>
      <c:valAx>
        <c:axId val="425549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55522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1223031496062997"/>
                  <c:y val="-1.544692330125400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'30_5050'!$F$86:$F$91</c:f>
              <c:numCache>
                <c:formatCode>General</c:formatCode>
                <c:ptCount val="6"/>
                <c:pt idx="0">
                  <c:v>1.07013138603731E-3</c:v>
                </c:pt>
                <c:pt idx="1">
                  <c:v>1.6964489887948682E-3</c:v>
                </c:pt>
                <c:pt idx="2">
                  <c:v>1.9884543439480438E-3</c:v>
                </c:pt>
                <c:pt idx="3">
                  <c:v>2.0464935427936043E-3</c:v>
                </c:pt>
                <c:pt idx="4">
                  <c:v>2.0767222755836167E-3</c:v>
                </c:pt>
                <c:pt idx="5">
                  <c:v>2.7060385442768003E-3</c:v>
                </c:pt>
              </c:numCache>
            </c:numRef>
          </c:xVal>
          <c:yVal>
            <c:numRef>
              <c:f>'30_5050'!$G$86:$G$91</c:f>
              <c:numCache>
                <c:formatCode>General</c:formatCode>
                <c:ptCount val="6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3408"/>
        <c:axId val="435261056"/>
      </c:scatterChart>
      <c:valAx>
        <c:axId val="43526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1056"/>
        <c:crosses val="autoZero"/>
        <c:crossBetween val="midCat"/>
      </c:valAx>
      <c:valAx>
        <c:axId val="435261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3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592419072615923"/>
                  <c:y val="-1.3094196558763487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'50_100'!$F$3:$F$11</c:f>
              <c:numCache>
                <c:formatCode>General</c:formatCode>
                <c:ptCount val="9"/>
                <c:pt idx="0">
                  <c:v>6.0613728780730567E-3</c:v>
                </c:pt>
                <c:pt idx="1">
                  <c:v>7.8108089666342031E-3</c:v>
                </c:pt>
                <c:pt idx="2">
                  <c:v>8.6225865556297E-3</c:v>
                </c:pt>
                <c:pt idx="3">
                  <c:v>8.6225865556297E-3</c:v>
                </c:pt>
                <c:pt idx="4">
                  <c:v>1.5677368375515564E-2</c:v>
                </c:pt>
                <c:pt idx="5">
                  <c:v>1.7170208017345791E-2</c:v>
                </c:pt>
                <c:pt idx="6">
                  <c:v>1.8954708205023315E-2</c:v>
                </c:pt>
                <c:pt idx="7">
                  <c:v>2.1122934160970067E-2</c:v>
                </c:pt>
                <c:pt idx="8">
                  <c:v>2.380956131593407E-2</c:v>
                </c:pt>
              </c:numCache>
            </c:numRef>
          </c:xVal>
          <c:yVal>
            <c:numRef>
              <c:f>'50_100'!$G$3:$G$11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1448"/>
        <c:axId val="435261840"/>
      </c:scatterChart>
      <c:valAx>
        <c:axId val="435261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1840"/>
        <c:crosses val="autoZero"/>
        <c:crossBetween val="midCat"/>
      </c:valAx>
      <c:valAx>
        <c:axId val="4352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1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207709973753281"/>
                  <c:y val="-2.452537182852143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'50_100'!$F$20:$F$24</c:f>
              <c:numCache>
                <c:formatCode>General</c:formatCode>
                <c:ptCount val="5"/>
                <c:pt idx="0">
                  <c:v>6.5557158127675817E-3</c:v>
                </c:pt>
                <c:pt idx="1">
                  <c:v>6.8323192270269553E-3</c:v>
                </c:pt>
                <c:pt idx="2">
                  <c:v>1.5677368375515564E-2</c:v>
                </c:pt>
                <c:pt idx="3">
                  <c:v>1.7170208017345791E-2</c:v>
                </c:pt>
                <c:pt idx="4">
                  <c:v>1.8954708205023315E-2</c:v>
                </c:pt>
              </c:numCache>
            </c:numRef>
          </c:xVal>
          <c:yVal>
            <c:numRef>
              <c:f>'50_100'!$G$20:$G$24</c:f>
              <c:numCache>
                <c:formatCode>General</c:formatCode>
                <c:ptCount val="5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2624"/>
        <c:axId val="435259096"/>
      </c:scatterChart>
      <c:valAx>
        <c:axId val="4352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59096"/>
        <c:crosses val="autoZero"/>
        <c:crossBetween val="midCat"/>
      </c:valAx>
      <c:valAx>
        <c:axId val="435259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2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741010498687664"/>
                  <c:y val="-4.589895013123359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'50_100'!$F$37:$F$45</c:f>
              <c:numCache>
                <c:formatCode>General</c:formatCode>
                <c:ptCount val="9"/>
                <c:pt idx="0">
                  <c:v>1.3324488363727047E-2</c:v>
                </c:pt>
                <c:pt idx="1">
                  <c:v>1.4411183872075611E-2</c:v>
                </c:pt>
                <c:pt idx="2">
                  <c:v>1.5677368375515564E-2</c:v>
                </c:pt>
                <c:pt idx="3">
                  <c:v>1.5677368375515564E-2</c:v>
                </c:pt>
                <c:pt idx="4">
                  <c:v>1.5677368375515564E-2</c:v>
                </c:pt>
                <c:pt idx="5">
                  <c:v>2.380956131593407E-2</c:v>
                </c:pt>
                <c:pt idx="6">
                  <c:v>2.380956131593407E-2</c:v>
                </c:pt>
                <c:pt idx="7">
                  <c:v>2.7219444648087589E-2</c:v>
                </c:pt>
                <c:pt idx="8">
                  <c:v>2.7219444648087589E-2</c:v>
                </c:pt>
              </c:numCache>
            </c:numRef>
          </c:xVal>
          <c:yVal>
            <c:numRef>
              <c:f>'50_100'!$G$37:$G$45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58312"/>
        <c:axId val="435263016"/>
      </c:scatterChart>
      <c:valAx>
        <c:axId val="43525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3016"/>
        <c:crosses val="autoZero"/>
        <c:crossBetween val="midCat"/>
      </c:valAx>
      <c:valAx>
        <c:axId val="4352630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58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4577099737532807"/>
                  <c:y val="-9.5034995625546811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'50_100'!$F$53:$F$60</c:f>
              <c:numCache>
                <c:formatCode>General</c:formatCode>
                <c:ptCount val="8"/>
                <c:pt idx="0">
                  <c:v>1.8812082507593808E-3</c:v>
                </c:pt>
                <c:pt idx="1">
                  <c:v>4.9271106179707355E-3</c:v>
                </c:pt>
                <c:pt idx="2">
                  <c:v>5.2577620881723644E-3</c:v>
                </c:pt>
                <c:pt idx="3">
                  <c:v>5.8396750879134646E-3</c:v>
                </c:pt>
                <c:pt idx="4">
                  <c:v>6.0613728780730567E-3</c:v>
                </c:pt>
                <c:pt idx="5">
                  <c:v>1.2382254315690646E-2</c:v>
                </c:pt>
                <c:pt idx="6">
                  <c:v>1.5677368375515564E-2</c:v>
                </c:pt>
                <c:pt idx="7">
                  <c:v>1.8954708205023315E-2</c:v>
                </c:pt>
              </c:numCache>
            </c:numRef>
          </c:xVal>
          <c:yVal>
            <c:numRef>
              <c:f>'50_100'!$G$53:$G$60</c:f>
              <c:numCache>
                <c:formatCode>General</c:formatCode>
                <c:ptCount val="8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59880"/>
        <c:axId val="435264584"/>
      </c:scatterChart>
      <c:valAx>
        <c:axId val="43525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4584"/>
        <c:crosses val="autoZero"/>
        <c:crossBetween val="midCat"/>
      </c:valAx>
      <c:valAx>
        <c:axId val="435264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59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170610236220472"/>
                  <c:y val="-2.777777777777777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'50_9010'!$F$3:$F$11</c:f>
              <c:numCache>
                <c:formatCode>General</c:formatCode>
                <c:ptCount val="9"/>
                <c:pt idx="0">
                  <c:v>3.6392063325281759E-3</c:v>
                </c:pt>
                <c:pt idx="1">
                  <c:v>3.8235546144592112E-3</c:v>
                </c:pt>
                <c:pt idx="2">
                  <c:v>4.026277718217495E-3</c:v>
                </c:pt>
                <c:pt idx="3">
                  <c:v>4.1353894490911668E-3</c:v>
                </c:pt>
                <c:pt idx="4">
                  <c:v>4.3711445081334706E-3</c:v>
                </c:pt>
                <c:pt idx="5">
                  <c:v>4.4987298993004231E-3</c:v>
                </c:pt>
                <c:pt idx="6">
                  <c:v>5.4391853589170489E-3</c:v>
                </c:pt>
                <c:pt idx="7">
                  <c:v>8.1978484653347193E-3</c:v>
                </c:pt>
                <c:pt idx="8">
                  <c:v>1.0831082234429018E-2</c:v>
                </c:pt>
              </c:numCache>
            </c:numRef>
          </c:xVal>
          <c:yVal>
            <c:numRef>
              <c:f>'50_9010'!$G$3:$G$11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3800"/>
        <c:axId val="435260664"/>
      </c:scatterChart>
      <c:valAx>
        <c:axId val="435263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0664"/>
        <c:crosses val="autoZero"/>
        <c:crossBetween val="midCat"/>
      </c:valAx>
      <c:valAx>
        <c:axId val="435260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38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987117235345581"/>
                  <c:y val="-9.074438611840186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'1_100percent'!$AA$22:$AA$31</c:f>
              <c:numCache>
                <c:formatCode>General</c:formatCode>
                <c:ptCount val="10"/>
                <c:pt idx="0">
                  <c:v>3.6392063325281759E-3</c:v>
                </c:pt>
                <c:pt idx="1">
                  <c:v>6.8323192270269553E-3</c:v>
                </c:pt>
                <c:pt idx="2">
                  <c:v>6.8323192270269553E-3</c:v>
                </c:pt>
                <c:pt idx="3">
                  <c:v>7.1317091416131561E-3</c:v>
                </c:pt>
                <c:pt idx="4">
                  <c:v>7.8108089666342031E-3</c:v>
                </c:pt>
                <c:pt idx="5">
                  <c:v>8.1978484653347193E-3</c:v>
                </c:pt>
                <c:pt idx="6">
                  <c:v>9.6089228144152165E-3</c:v>
                </c:pt>
                <c:pt idx="7">
                  <c:v>9.6089228144152165E-3</c:v>
                </c:pt>
                <c:pt idx="8">
                  <c:v>9.6089228144152165E-3</c:v>
                </c:pt>
                <c:pt idx="9">
                  <c:v>1.2382254315690646E-2</c:v>
                </c:pt>
              </c:numCache>
            </c:numRef>
          </c:xVal>
          <c:yVal>
            <c:numRef>
              <c:f>'1_100percent'!$AB$22:$AB$31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975952"/>
        <c:axId val="421979088"/>
      </c:scatterChart>
      <c:valAx>
        <c:axId val="42197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9088"/>
        <c:crosses val="autoZero"/>
        <c:crossBetween val="midCat"/>
      </c:valAx>
      <c:valAx>
        <c:axId val="421979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5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7263713910761155"/>
                  <c:y val="8.2104841061533974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'50_9010'!$F$20:$F$25</c:f>
              <c:numCache>
                <c:formatCode>General</c:formatCode>
                <c:ptCount val="6"/>
                <c:pt idx="0">
                  <c:v>3.7292401021267918E-3</c:v>
                </c:pt>
                <c:pt idx="1">
                  <c:v>4.026277718217495E-3</c:v>
                </c:pt>
                <c:pt idx="2">
                  <c:v>4.2501959551075989E-3</c:v>
                </c:pt>
                <c:pt idx="3">
                  <c:v>4.4987298993004231E-3</c:v>
                </c:pt>
                <c:pt idx="4">
                  <c:v>4.7760676318044622E-3</c:v>
                </c:pt>
                <c:pt idx="5">
                  <c:v>5.2577620881723644E-3</c:v>
                </c:pt>
              </c:numCache>
            </c:numRef>
          </c:xVal>
          <c:yVal>
            <c:numRef>
              <c:f>'50_9010'!$G$20:$G$25</c:f>
              <c:numCache>
                <c:formatCode>General</c:formatCode>
                <c:ptCount val="6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5368"/>
        <c:axId val="435257920"/>
      </c:scatterChart>
      <c:valAx>
        <c:axId val="43526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57920"/>
        <c:crosses val="autoZero"/>
        <c:crossBetween val="midCat"/>
      </c:valAx>
      <c:valAx>
        <c:axId val="4352579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5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6758705161854764"/>
                  <c:y val="-2.819444444444446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'50_9010'!$F$36:$F$43</c:f>
              <c:numCache>
                <c:formatCode>General</c:formatCode>
                <c:ptCount val="8"/>
                <c:pt idx="0">
                  <c:v>4.7760676318044622E-3</c:v>
                </c:pt>
                <c:pt idx="1">
                  <c:v>4.9271106179707355E-3</c:v>
                </c:pt>
                <c:pt idx="2">
                  <c:v>9.0906713218758557E-3</c:v>
                </c:pt>
                <c:pt idx="3">
                  <c:v>9.0906713218758557E-3</c:v>
                </c:pt>
                <c:pt idx="4">
                  <c:v>1.0185650959234835E-2</c:v>
                </c:pt>
                <c:pt idx="5">
                  <c:v>1.4411183872075611E-2</c:v>
                </c:pt>
                <c:pt idx="6">
                  <c:v>1.5677368375515564E-2</c:v>
                </c:pt>
                <c:pt idx="7">
                  <c:v>1.5677368375515564E-2</c:v>
                </c:pt>
              </c:numCache>
            </c:numRef>
          </c:xVal>
          <c:yVal>
            <c:numRef>
              <c:f>'50_9010'!$G$36:$G$43</c:f>
              <c:numCache>
                <c:formatCode>General</c:formatCode>
                <c:ptCount val="8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4192"/>
        <c:axId val="435269680"/>
      </c:scatterChart>
      <c:valAx>
        <c:axId val="43526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9680"/>
        <c:crosses val="autoZero"/>
        <c:crossBetween val="midCat"/>
      </c:valAx>
      <c:valAx>
        <c:axId val="4352696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41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7665310586176726"/>
                  <c:y val="5.8213035870516181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'50_9010'!$F$52:$F$59</c:f>
              <c:numCache>
                <c:formatCode>General</c:formatCode>
                <c:ptCount val="8"/>
                <c:pt idx="0">
                  <c:v>5.4391853589170489E-3</c:v>
                </c:pt>
                <c:pt idx="1">
                  <c:v>5.8396750879134646E-3</c:v>
                </c:pt>
                <c:pt idx="2">
                  <c:v>7.1317091416131561E-3</c:v>
                </c:pt>
                <c:pt idx="3">
                  <c:v>7.4567518401223581E-3</c:v>
                </c:pt>
                <c:pt idx="4">
                  <c:v>7.8108089666342031E-3</c:v>
                </c:pt>
                <c:pt idx="5">
                  <c:v>1.0185650959234835E-2</c:v>
                </c:pt>
                <c:pt idx="6">
                  <c:v>1.2382254315690646E-2</c:v>
                </c:pt>
                <c:pt idx="7">
                  <c:v>1.7170208017345791E-2</c:v>
                </c:pt>
              </c:numCache>
            </c:numRef>
          </c:xVal>
          <c:yVal>
            <c:numRef>
              <c:f>'50_9010'!$G$52:$G$59</c:f>
              <c:numCache>
                <c:formatCode>General</c:formatCode>
                <c:ptCount val="8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6152"/>
        <c:axId val="435266544"/>
      </c:scatterChart>
      <c:valAx>
        <c:axId val="435266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6544"/>
        <c:crosses val="autoZero"/>
        <c:crossBetween val="midCat"/>
      </c:valAx>
      <c:valAx>
        <c:axId val="435266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6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4643657042869646"/>
                  <c:y val="-8.781240886555846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'50_7525'!$F$3:$F$11</c:f>
              <c:numCache>
                <c:formatCode>General</c:formatCode>
                <c:ptCount val="9"/>
                <c:pt idx="0">
                  <c:v>1.9884543439480438E-3</c:v>
                </c:pt>
                <c:pt idx="1">
                  <c:v>1.9884543439480438E-3</c:v>
                </c:pt>
                <c:pt idx="2">
                  <c:v>1.9884543439480438E-3</c:v>
                </c:pt>
                <c:pt idx="3">
                  <c:v>2.0170815632259611E-3</c:v>
                </c:pt>
                <c:pt idx="4">
                  <c:v>2.0170815632259611E-3</c:v>
                </c:pt>
                <c:pt idx="5">
                  <c:v>2.0170815632259611E-3</c:v>
                </c:pt>
                <c:pt idx="6">
                  <c:v>2.0170815632259611E-3</c:v>
                </c:pt>
                <c:pt idx="7">
                  <c:v>1.7170208017345791E-2</c:v>
                </c:pt>
                <c:pt idx="8">
                  <c:v>1.8954708205023315E-2</c:v>
                </c:pt>
              </c:numCache>
            </c:numRef>
          </c:xVal>
          <c:yVal>
            <c:numRef>
              <c:f>'50_7525'!$G$3:$G$11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7328"/>
        <c:axId val="435267720"/>
      </c:scatterChart>
      <c:valAx>
        <c:axId val="43526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7720"/>
        <c:crosses val="autoZero"/>
        <c:crossBetween val="midCat"/>
      </c:valAx>
      <c:valAx>
        <c:axId val="4352677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73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231307961504812"/>
                  <c:y val="2.273148148148148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'50_7525'!$F$19:$F$27</c:f>
              <c:numCache>
                <c:formatCode>General</c:formatCode>
                <c:ptCount val="9"/>
                <c:pt idx="0">
                  <c:v>7.8108089666342031E-3</c:v>
                </c:pt>
                <c:pt idx="1">
                  <c:v>1.0185650959234835E-2</c:v>
                </c:pt>
                <c:pt idx="2">
                  <c:v>1.1557940943796448E-2</c:v>
                </c:pt>
                <c:pt idx="3">
                  <c:v>1.2382254315690646E-2</c:v>
                </c:pt>
                <c:pt idx="4">
                  <c:v>1.4411183872075611E-2</c:v>
                </c:pt>
                <c:pt idx="5">
                  <c:v>1.5677368375515564E-2</c:v>
                </c:pt>
                <c:pt idx="6">
                  <c:v>1.7170208017345791E-2</c:v>
                </c:pt>
                <c:pt idx="7">
                  <c:v>1.8954708205023315E-2</c:v>
                </c:pt>
                <c:pt idx="8">
                  <c:v>2.380956131593407E-2</c:v>
                </c:pt>
              </c:numCache>
            </c:numRef>
          </c:xVal>
          <c:yVal>
            <c:numRef>
              <c:f>'50_7525'!$G$19:$G$27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68896"/>
        <c:axId val="435257528"/>
      </c:scatterChart>
      <c:valAx>
        <c:axId val="43526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57528"/>
        <c:crosses val="autoZero"/>
        <c:crossBetween val="midCat"/>
      </c:valAx>
      <c:valAx>
        <c:axId val="435257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68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2868635170603677"/>
                  <c:y val="-3.197032662583843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'50_7525'!$F$35:$F$44</c:f>
              <c:numCache>
                <c:formatCode>General</c:formatCode>
                <c:ptCount val="10"/>
                <c:pt idx="0">
                  <c:v>3.1747788941022567E-3</c:v>
                </c:pt>
                <c:pt idx="1">
                  <c:v>3.2442482731988519E-3</c:v>
                </c:pt>
                <c:pt idx="2">
                  <c:v>3.3166315450883603E-3</c:v>
                </c:pt>
                <c:pt idx="3">
                  <c:v>3.3166315450883603E-3</c:v>
                </c:pt>
                <c:pt idx="4">
                  <c:v>3.3921117365587512E-3</c:v>
                </c:pt>
                <c:pt idx="5">
                  <c:v>3.4708873458777541E-3</c:v>
                </c:pt>
                <c:pt idx="6">
                  <c:v>9.6089228144152165E-3</c:v>
                </c:pt>
                <c:pt idx="7">
                  <c:v>1.0185650959234835E-2</c:v>
                </c:pt>
                <c:pt idx="8">
                  <c:v>1.1557940943796448E-2</c:v>
                </c:pt>
                <c:pt idx="9">
                  <c:v>2.380956131593407E-2</c:v>
                </c:pt>
              </c:numCache>
            </c:numRef>
          </c:xVal>
          <c:yVal>
            <c:numRef>
              <c:f>'50_7525'!$G$35:$G$44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71640"/>
        <c:axId val="435272032"/>
      </c:scatterChart>
      <c:valAx>
        <c:axId val="43527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72032"/>
        <c:crosses val="autoZero"/>
        <c:crossBetween val="midCat"/>
      </c:valAx>
      <c:valAx>
        <c:axId val="4352720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71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1227274715660541"/>
                  <c:y val="-1.388888888888888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'50_7525'!$F$50:$F$58</c:f>
              <c:numCache>
                <c:formatCode>General</c:formatCode>
                <c:ptCount val="9"/>
                <c:pt idx="0">
                  <c:v>3.922455471491895E-3</c:v>
                </c:pt>
                <c:pt idx="1">
                  <c:v>4.1353894490911668E-3</c:v>
                </c:pt>
                <c:pt idx="2">
                  <c:v>4.6335008733165064E-3</c:v>
                </c:pt>
                <c:pt idx="3">
                  <c:v>6.5557158127675817E-3</c:v>
                </c:pt>
                <c:pt idx="4">
                  <c:v>6.8323192270269553E-3</c:v>
                </c:pt>
                <c:pt idx="5">
                  <c:v>6.8323192270269553E-3</c:v>
                </c:pt>
                <c:pt idx="6">
                  <c:v>7.1317091416131561E-3</c:v>
                </c:pt>
                <c:pt idx="7">
                  <c:v>8.6225865556297E-3</c:v>
                </c:pt>
                <c:pt idx="8">
                  <c:v>1.1557940943796448E-2</c:v>
                </c:pt>
              </c:numCache>
            </c:numRef>
          </c:xVal>
          <c:yVal>
            <c:numRef>
              <c:f>'50_7525'!$G$50:$G$58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71248"/>
        <c:axId val="435270856"/>
      </c:scatterChart>
      <c:valAx>
        <c:axId val="43527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70856"/>
        <c:crosses val="autoZero"/>
        <c:crossBetween val="midCat"/>
      </c:valAx>
      <c:valAx>
        <c:axId val="435270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7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732239720034997"/>
                  <c:y val="-6.412547389909595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'50_5050'!$F$4:$F$12</c:f>
              <c:numCache>
                <c:formatCode>General</c:formatCode>
                <c:ptCount val="9"/>
                <c:pt idx="0">
                  <c:v>7.5309124448194283E-4</c:v>
                </c:pt>
                <c:pt idx="1">
                  <c:v>7.717226815033548E-4</c:v>
                </c:pt>
                <c:pt idx="2">
                  <c:v>7.7651658213313368E-4</c:v>
                </c:pt>
                <c:pt idx="3">
                  <c:v>1.0613870647656809E-3</c:v>
                </c:pt>
                <c:pt idx="4">
                  <c:v>1.7176492392183068E-3</c:v>
                </c:pt>
                <c:pt idx="5">
                  <c:v>1.7393531072461769E-3</c:v>
                </c:pt>
                <c:pt idx="6">
                  <c:v>1.7393531072461769E-3</c:v>
                </c:pt>
                <c:pt idx="7">
                  <c:v>2.7573472364655128E-3</c:v>
                </c:pt>
                <c:pt idx="8">
                  <c:v>3.10805438276914E-3</c:v>
                </c:pt>
              </c:numCache>
            </c:numRef>
          </c:xVal>
          <c:yVal>
            <c:numRef>
              <c:f>'50_5050'!$G$4:$G$12</c:f>
              <c:numCache>
                <c:formatCode>General</c:formatCode>
                <c:ptCount val="9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  <c:pt idx="8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5272816"/>
        <c:axId val="435273208"/>
      </c:scatterChart>
      <c:valAx>
        <c:axId val="43527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73208"/>
        <c:crosses val="autoZero"/>
        <c:crossBetween val="midCat"/>
      </c:valAx>
      <c:valAx>
        <c:axId val="435273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272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0591776027996501"/>
                  <c:y val="-8.543307086614172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'50_5050'!$F$20:$F$28</c:f>
              <c:numCache>
                <c:formatCode>General</c:formatCode>
                <c:ptCount val="9"/>
                <c:pt idx="0">
                  <c:v>5.9012049597065579E-4</c:v>
                </c:pt>
                <c:pt idx="1">
                  <c:v>1.4138686623479033E-3</c:v>
                </c:pt>
                <c:pt idx="2">
                  <c:v>1.4138686623479033E-3</c:v>
                </c:pt>
                <c:pt idx="3">
                  <c:v>1.4288938023730643E-3</c:v>
                </c:pt>
                <c:pt idx="4">
                  <c:v>4.026277718217495E-3</c:v>
                </c:pt>
                <c:pt idx="5">
                  <c:v>4.1353894490911668E-3</c:v>
                </c:pt>
                <c:pt idx="6">
                  <c:v>4.3711445081334706E-3</c:v>
                </c:pt>
                <c:pt idx="7">
                  <c:v>5.4391853589170489E-3</c:v>
                </c:pt>
                <c:pt idx="8">
                  <c:v>7.1317091416131561E-3</c:v>
                </c:pt>
              </c:numCache>
            </c:numRef>
          </c:xVal>
          <c:yVal>
            <c:numRef>
              <c:f>'50_5050'!$G$20:$G$28</c:f>
              <c:numCache>
                <c:formatCode>General</c:formatCode>
                <c:ptCount val="9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  <c:pt idx="8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33544"/>
        <c:axId val="436242168"/>
      </c:scatterChart>
      <c:valAx>
        <c:axId val="436233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2168"/>
        <c:crosses val="autoZero"/>
        <c:crossBetween val="midCat"/>
      </c:valAx>
      <c:valAx>
        <c:axId val="436242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35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6227274715660542"/>
                  <c:y val="-7.757509477981919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'50_5050'!$F$35:$F$43</c:f>
              <c:numCache>
                <c:formatCode>General</c:formatCode>
                <c:ptCount val="9"/>
                <c:pt idx="0">
                  <c:v>1.8076682538078735E-3</c:v>
                </c:pt>
                <c:pt idx="1">
                  <c:v>2.2772736065616657E-3</c:v>
                </c:pt>
                <c:pt idx="2">
                  <c:v>5.8396750879134646E-3</c:v>
                </c:pt>
                <c:pt idx="3">
                  <c:v>6.5557158127675817E-3</c:v>
                </c:pt>
                <c:pt idx="4">
                  <c:v>6.8323192270269553E-3</c:v>
                </c:pt>
                <c:pt idx="5">
                  <c:v>6.8323192270269553E-3</c:v>
                </c:pt>
                <c:pt idx="6">
                  <c:v>7.8108089666342031E-3</c:v>
                </c:pt>
                <c:pt idx="7">
                  <c:v>8.6225865556297E-3</c:v>
                </c:pt>
                <c:pt idx="8">
                  <c:v>1.1557940943796448E-2</c:v>
                </c:pt>
              </c:numCache>
            </c:numRef>
          </c:xVal>
          <c:yVal>
            <c:numRef>
              <c:f>'50_5050'!$G$35:$G$43</c:f>
              <c:numCache>
                <c:formatCode>General</c:formatCode>
                <c:ptCount val="9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  <c:pt idx="8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40992"/>
        <c:axId val="436244128"/>
      </c:scatterChart>
      <c:valAx>
        <c:axId val="436240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4128"/>
        <c:crosses val="autoZero"/>
        <c:crossBetween val="midCat"/>
      </c:valAx>
      <c:valAx>
        <c:axId val="4362441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09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0583311461067367"/>
                  <c:y val="2.3035141440653252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'1_100percent'!$AA$37:$AA$42</c:f>
              <c:numCache>
                <c:formatCode>General</c:formatCode>
                <c:ptCount val="6"/>
                <c:pt idx="0">
                  <c:v>1.3324488363727047E-2</c:v>
                </c:pt>
                <c:pt idx="1">
                  <c:v>1.3324488363727047E-2</c:v>
                </c:pt>
                <c:pt idx="2">
                  <c:v>1.4411183872075611E-2</c:v>
                </c:pt>
                <c:pt idx="3">
                  <c:v>1.5677368375515564E-2</c:v>
                </c:pt>
                <c:pt idx="4">
                  <c:v>1.7170208017345791E-2</c:v>
                </c:pt>
                <c:pt idx="5">
                  <c:v>3.1679564295679342E-2</c:v>
                </c:pt>
              </c:numCache>
            </c:numRef>
          </c:xVal>
          <c:yVal>
            <c:numRef>
              <c:f>'1_100percent'!$AB$37:$AB$42</c:f>
              <c:numCache>
                <c:formatCode>General</c:formatCode>
                <c:ptCount val="6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979872"/>
        <c:axId val="421976344"/>
      </c:scatterChart>
      <c:valAx>
        <c:axId val="42197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6344"/>
        <c:crosses val="autoZero"/>
        <c:crossBetween val="midCat"/>
      </c:valAx>
      <c:valAx>
        <c:axId val="4219763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979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2366535433070866"/>
                  <c:y val="-1.9002260134149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'50_5050'!$F$51:$F$59</c:f>
              <c:numCache>
                <c:formatCode>General</c:formatCode>
                <c:ptCount val="9"/>
                <c:pt idx="0">
                  <c:v>5.4973079058602829E-4</c:v>
                </c:pt>
                <c:pt idx="1">
                  <c:v>1.4442219586439349E-3</c:v>
                </c:pt>
                <c:pt idx="2">
                  <c:v>1.8560786502070086E-3</c:v>
                </c:pt>
                <c:pt idx="3">
                  <c:v>1.8812082507593808E-3</c:v>
                </c:pt>
                <c:pt idx="4">
                  <c:v>2.3524296372682851E-3</c:v>
                </c:pt>
                <c:pt idx="5">
                  <c:v>2.3524296372682851E-3</c:v>
                </c:pt>
                <c:pt idx="6">
                  <c:v>2.3524296372682851E-3</c:v>
                </c:pt>
                <c:pt idx="7">
                  <c:v>2.3917808812356119E-3</c:v>
                </c:pt>
                <c:pt idx="8">
                  <c:v>4.7760676318044622E-3</c:v>
                </c:pt>
              </c:numCache>
            </c:numRef>
          </c:xVal>
          <c:yVal>
            <c:numRef>
              <c:f>'50_5050'!$G$51:$G$59</c:f>
              <c:numCache>
                <c:formatCode>General</c:formatCode>
                <c:ptCount val="9"/>
                <c:pt idx="0">
                  <c:v>103.74000000000001</c:v>
                </c:pt>
                <c:pt idx="1">
                  <c:v>111.72</c:v>
                </c:pt>
                <c:pt idx="2">
                  <c:v>119.7</c:v>
                </c:pt>
                <c:pt idx="3">
                  <c:v>127.68</c:v>
                </c:pt>
                <c:pt idx="4">
                  <c:v>135.66</c:v>
                </c:pt>
                <c:pt idx="5">
                  <c:v>143.64000000000001</c:v>
                </c:pt>
                <c:pt idx="6">
                  <c:v>151.62</c:v>
                </c:pt>
                <c:pt idx="7">
                  <c:v>159.60000000000002</c:v>
                </c:pt>
                <c:pt idx="8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37072"/>
        <c:axId val="436241384"/>
      </c:scatterChart>
      <c:valAx>
        <c:axId val="43623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1384"/>
        <c:crosses val="autoZero"/>
        <c:crossBetween val="midCat"/>
      </c:valAx>
      <c:valAx>
        <c:axId val="4362413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7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8309208223972004"/>
                  <c:y val="-2.42979002624671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'100_100'!$F$3:$F$11</c:f>
              <c:numCache>
                <c:formatCode>General</c:formatCode>
                <c:ptCount val="9"/>
                <c:pt idx="0">
                  <c:v>1.4411183872075611E-2</c:v>
                </c:pt>
                <c:pt idx="1">
                  <c:v>1.7170208017345791E-2</c:v>
                </c:pt>
                <c:pt idx="2">
                  <c:v>1.7170208017345791E-2</c:v>
                </c:pt>
                <c:pt idx="3">
                  <c:v>1.8954708205023315E-2</c:v>
                </c:pt>
                <c:pt idx="4">
                  <c:v>3.774462345940157E-2</c:v>
                </c:pt>
                <c:pt idx="5">
                  <c:v>8.297258825593623E-2</c:v>
                </c:pt>
                <c:pt idx="6">
                  <c:v>8.297258825593623E-2</c:v>
                </c:pt>
                <c:pt idx="7">
                  <c:v>0.13153409504762295</c:v>
                </c:pt>
                <c:pt idx="8">
                  <c:v>0.13153409504762295</c:v>
                </c:pt>
              </c:numCache>
            </c:numRef>
          </c:xVal>
          <c:yVal>
            <c:numRef>
              <c:f>'100_100'!$G$3:$G$11</c:f>
              <c:numCache>
                <c:formatCode>General</c:formatCode>
                <c:ptCount val="9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43736"/>
        <c:axId val="436242560"/>
      </c:scatterChart>
      <c:valAx>
        <c:axId val="43624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2560"/>
        <c:crosses val="autoZero"/>
        <c:crossBetween val="midCat"/>
      </c:valAx>
      <c:valAx>
        <c:axId val="436242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3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622801837270341"/>
                  <c:y val="-8.1583552055993006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'100_100'!$F$19:$F$25</c:f>
              <c:numCache>
                <c:formatCode>General</c:formatCode>
                <c:ptCount val="7"/>
                <c:pt idx="0">
                  <c:v>5.0873908443554222E-3</c:v>
                </c:pt>
                <c:pt idx="1">
                  <c:v>6.8323192270269553E-3</c:v>
                </c:pt>
                <c:pt idx="2">
                  <c:v>9.6089228144152165E-3</c:v>
                </c:pt>
                <c:pt idx="3">
                  <c:v>1.3324488363727047E-2</c:v>
                </c:pt>
                <c:pt idx="4">
                  <c:v>1.5677368375515564E-2</c:v>
                </c:pt>
                <c:pt idx="5">
                  <c:v>1.8954708205023315E-2</c:v>
                </c:pt>
                <c:pt idx="6">
                  <c:v>2.1122934160970067E-2</c:v>
                </c:pt>
              </c:numCache>
            </c:numRef>
          </c:xVal>
          <c:yVal>
            <c:numRef>
              <c:f>'100_100'!$G$19:$G$25</c:f>
              <c:numCache>
                <c:formatCode>General</c:formatCode>
                <c:ptCount val="7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40208"/>
        <c:axId val="436244520"/>
      </c:scatterChart>
      <c:valAx>
        <c:axId val="43624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4520"/>
        <c:crosses val="autoZero"/>
        <c:crossBetween val="midCat"/>
      </c:valAx>
      <c:valAx>
        <c:axId val="436244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02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0144706911636046"/>
                  <c:y val="-9.787292213473315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'100_100'!$F$35:$F$44</c:f>
              <c:numCache>
                <c:formatCode>General</c:formatCode>
                <c:ptCount val="10"/>
                <c:pt idx="0">
                  <c:v>1.8076682538078735E-3</c:v>
                </c:pt>
                <c:pt idx="1">
                  <c:v>4.2501959551075989E-3</c:v>
                </c:pt>
                <c:pt idx="2">
                  <c:v>4.3711445081334706E-3</c:v>
                </c:pt>
                <c:pt idx="3">
                  <c:v>4.4987298993004231E-3</c:v>
                </c:pt>
                <c:pt idx="4">
                  <c:v>4.4987298993004231E-3</c:v>
                </c:pt>
                <c:pt idx="5">
                  <c:v>4.6335008733165064E-3</c:v>
                </c:pt>
                <c:pt idx="6">
                  <c:v>4.9271106179707355E-3</c:v>
                </c:pt>
                <c:pt idx="7">
                  <c:v>5.0873908443554222E-3</c:v>
                </c:pt>
                <c:pt idx="8">
                  <c:v>5.4391853589170489E-3</c:v>
                </c:pt>
                <c:pt idx="9">
                  <c:v>6.8323192270269553E-3</c:v>
                </c:pt>
              </c:numCache>
            </c:numRef>
          </c:xVal>
          <c:yVal>
            <c:numRef>
              <c:f>'100_100'!$G$35:$G$44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40600"/>
        <c:axId val="436239816"/>
      </c:scatterChart>
      <c:valAx>
        <c:axId val="436240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9816"/>
        <c:crosses val="autoZero"/>
        <c:crossBetween val="midCat"/>
      </c:valAx>
      <c:valAx>
        <c:axId val="436239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0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9947375328083988"/>
                  <c:y val="-1.409813356663750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'100_100'!$F$49:$F$58</c:f>
              <c:numCache>
                <c:formatCode>General</c:formatCode>
                <c:ptCount val="10"/>
                <c:pt idx="0">
                  <c:v>7.4856491480596E-4</c:v>
                </c:pt>
                <c:pt idx="1">
                  <c:v>7.6698411996083485E-4</c:v>
                </c:pt>
                <c:pt idx="2">
                  <c:v>1.0196079935951374E-3</c:v>
                </c:pt>
                <c:pt idx="3">
                  <c:v>2.3524296372682851E-3</c:v>
                </c:pt>
                <c:pt idx="4">
                  <c:v>3.1747788941022567E-3</c:v>
                </c:pt>
                <c:pt idx="5">
                  <c:v>4.7760676318044622E-3</c:v>
                </c:pt>
                <c:pt idx="6">
                  <c:v>5.8396750879134646E-3</c:v>
                </c:pt>
                <c:pt idx="7">
                  <c:v>6.299440453199451E-3</c:v>
                </c:pt>
                <c:pt idx="8">
                  <c:v>6.299440453199451E-3</c:v>
                </c:pt>
                <c:pt idx="9">
                  <c:v>7.8108089666342031E-3</c:v>
                </c:pt>
              </c:numCache>
            </c:numRef>
          </c:xVal>
          <c:yVal>
            <c:numRef>
              <c:f>'100_100'!$G$49:$G$58</c:f>
              <c:numCache>
                <c:formatCode>General</c:formatCode>
                <c:ptCount val="10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  <c:pt idx="8">
                  <c:v>159.60000000000002</c:v>
                </c:pt>
                <c:pt idx="9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39032"/>
        <c:axId val="436234328"/>
      </c:scatterChart>
      <c:valAx>
        <c:axId val="436239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4328"/>
        <c:crosses val="autoZero"/>
        <c:crossBetween val="midCat"/>
      </c:valAx>
      <c:valAx>
        <c:axId val="4362343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9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2342585301837271"/>
                  <c:y val="1.244130941965587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'100_100'!$F$65:$F$72</c:f>
              <c:numCache>
                <c:formatCode>General</c:formatCode>
                <c:ptCount val="8"/>
                <c:pt idx="0">
                  <c:v>2.7219444648087589E-2</c:v>
                </c:pt>
                <c:pt idx="1">
                  <c:v>3.1679564295679342E-2</c:v>
                </c:pt>
                <c:pt idx="2">
                  <c:v>3.1679564295679342E-2</c:v>
                </c:pt>
                <c:pt idx="3">
                  <c:v>3.774462345940157E-2</c:v>
                </c:pt>
                <c:pt idx="4">
                  <c:v>3.774462345940157E-2</c:v>
                </c:pt>
                <c:pt idx="5">
                  <c:v>3.774462345940157E-2</c:v>
                </c:pt>
                <c:pt idx="6">
                  <c:v>3.774462345940157E-2</c:v>
                </c:pt>
                <c:pt idx="7">
                  <c:v>5.9835482946869113E-2</c:v>
                </c:pt>
              </c:numCache>
            </c:numRef>
          </c:xVal>
          <c:yVal>
            <c:numRef>
              <c:f>'100_100'!$G$65:$G$72</c:f>
              <c:numCache>
                <c:formatCode>General</c:formatCode>
                <c:ptCount val="8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  <c:pt idx="7">
                  <c:v>151.62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35896"/>
        <c:axId val="436237856"/>
      </c:scatterChart>
      <c:valAx>
        <c:axId val="436235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7856"/>
        <c:crosses val="autoZero"/>
        <c:crossBetween val="midCat"/>
      </c:valAx>
      <c:valAx>
        <c:axId val="436237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5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'100_100'!$F$80:$F$86</c:f>
              <c:numCache>
                <c:formatCode>General</c:formatCode>
                <c:ptCount val="7"/>
                <c:pt idx="0">
                  <c:v>1.3324488363727047E-2</c:v>
                </c:pt>
                <c:pt idx="1">
                  <c:v>1.3324488363727047E-2</c:v>
                </c:pt>
                <c:pt idx="2">
                  <c:v>1.4411183872075611E-2</c:v>
                </c:pt>
                <c:pt idx="3">
                  <c:v>1.4411183872075611E-2</c:v>
                </c:pt>
                <c:pt idx="4">
                  <c:v>1.5677368375515564E-2</c:v>
                </c:pt>
                <c:pt idx="5">
                  <c:v>1.7170208017345791E-2</c:v>
                </c:pt>
                <c:pt idx="6">
                  <c:v>1.8954708205023315E-2</c:v>
                </c:pt>
              </c:numCache>
            </c:numRef>
          </c:xVal>
          <c:yVal>
            <c:numRef>
              <c:f>'100_100'!$G$80:$G$86</c:f>
              <c:numCache>
                <c:formatCode>General</c:formatCode>
                <c:ptCount val="7"/>
                <c:pt idx="0">
                  <c:v>95.76</c:v>
                </c:pt>
                <c:pt idx="1">
                  <c:v>103.74000000000001</c:v>
                </c:pt>
                <c:pt idx="2">
                  <c:v>111.72</c:v>
                </c:pt>
                <c:pt idx="3">
                  <c:v>119.7</c:v>
                </c:pt>
                <c:pt idx="4">
                  <c:v>127.68</c:v>
                </c:pt>
                <c:pt idx="5">
                  <c:v>135.66</c:v>
                </c:pt>
                <c:pt idx="6">
                  <c:v>143.64000000000001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35112"/>
        <c:axId val="436235504"/>
      </c:scatterChart>
      <c:valAx>
        <c:axId val="436235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5504"/>
        <c:crosses val="autoZero"/>
        <c:crossBetween val="midCat"/>
      </c:valAx>
      <c:valAx>
        <c:axId val="436235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5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'100_9010'!$F$5:$F$12</c:f>
              <c:numCache>
                <c:formatCode>General</c:formatCode>
                <c:ptCount val="8"/>
                <c:pt idx="0">
                  <c:v>2.3917808812356119E-3</c:v>
                </c:pt>
                <c:pt idx="1">
                  <c:v>2.3917808812356119E-3</c:v>
                </c:pt>
                <c:pt idx="2">
                  <c:v>2.3917808812356119E-3</c:v>
                </c:pt>
                <c:pt idx="3">
                  <c:v>2.3917808812356119E-3</c:v>
                </c:pt>
                <c:pt idx="4">
                  <c:v>2.4323881482810543E-3</c:v>
                </c:pt>
                <c:pt idx="5">
                  <c:v>2.4323881482810543E-3</c:v>
                </c:pt>
                <c:pt idx="6">
                  <c:v>2.4743111865445011E-3</c:v>
                </c:pt>
                <c:pt idx="7">
                  <c:v>7.4567518401223581E-3</c:v>
                </c:pt>
              </c:numCache>
            </c:numRef>
          </c:xVal>
          <c:yVal>
            <c:numRef>
              <c:f>'100_9010'!$G$5:$G$12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36680"/>
        <c:axId val="436237464"/>
      </c:scatterChart>
      <c:valAx>
        <c:axId val="436236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7464"/>
        <c:crosses val="autoZero"/>
        <c:crossBetween val="midCat"/>
      </c:valAx>
      <c:valAx>
        <c:axId val="436237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6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4642322834645669"/>
                  <c:y val="-4.7557596967046211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'100_9010'!$F$21:$F$28</c:f>
              <c:numCache>
                <c:formatCode>General</c:formatCode>
                <c:ptCount val="8"/>
                <c:pt idx="0">
                  <c:v>4.4788588000246822E-4</c:v>
                </c:pt>
                <c:pt idx="1">
                  <c:v>4.675120875760057E-4</c:v>
                </c:pt>
                <c:pt idx="2">
                  <c:v>6.7504604674005139E-4</c:v>
                </c:pt>
                <c:pt idx="3">
                  <c:v>6.7877105314864813E-4</c:v>
                </c:pt>
                <c:pt idx="4">
                  <c:v>9.5884888630921763E-4</c:v>
                </c:pt>
                <c:pt idx="5">
                  <c:v>9.8081710528519217E-4</c:v>
                </c:pt>
                <c:pt idx="6">
                  <c:v>1.0037510212628281E-3</c:v>
                </c:pt>
                <c:pt idx="7">
                  <c:v>1.1553683960198739E-3</c:v>
                </c:pt>
              </c:numCache>
            </c:numRef>
          </c:xVal>
          <c:yVal>
            <c:numRef>
              <c:f>'100_9010'!$G$21:$G$28</c:f>
              <c:numCache>
                <c:formatCode>General</c:formatCode>
                <c:ptCount val="8"/>
                <c:pt idx="0">
                  <c:v>111.72</c:v>
                </c:pt>
                <c:pt idx="1">
                  <c:v>119.7</c:v>
                </c:pt>
                <c:pt idx="2">
                  <c:v>127.68</c:v>
                </c:pt>
                <c:pt idx="3">
                  <c:v>135.66</c:v>
                </c:pt>
                <c:pt idx="4">
                  <c:v>143.64000000000001</c:v>
                </c:pt>
                <c:pt idx="5">
                  <c:v>151.62</c:v>
                </c:pt>
                <c:pt idx="6">
                  <c:v>159.60000000000002</c:v>
                </c:pt>
                <c:pt idx="7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39424"/>
        <c:axId val="436247656"/>
      </c:scatterChart>
      <c:valAx>
        <c:axId val="43623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7656"/>
        <c:crosses val="autoZero"/>
        <c:crossBetween val="midCat"/>
      </c:valAx>
      <c:valAx>
        <c:axId val="436247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39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93922353455818"/>
                  <c:y val="-5.365485564304461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'100_9010'!$F$38:$F$44</c:f>
              <c:numCache>
                <c:formatCode>General</c:formatCode>
                <c:ptCount val="7"/>
                <c:pt idx="0">
                  <c:v>1.6554922004921116E-3</c:v>
                </c:pt>
                <c:pt idx="1">
                  <c:v>2.2772736065616657E-3</c:v>
                </c:pt>
                <c:pt idx="2">
                  <c:v>2.3142781953323513E-3</c:v>
                </c:pt>
                <c:pt idx="3">
                  <c:v>2.3917808812356119E-3</c:v>
                </c:pt>
                <c:pt idx="4">
                  <c:v>4.6335008733165064E-3</c:v>
                </c:pt>
                <c:pt idx="5">
                  <c:v>4.6335008733165064E-3</c:v>
                </c:pt>
                <c:pt idx="6">
                  <c:v>5.6327461460243889E-3</c:v>
                </c:pt>
              </c:numCache>
            </c:numRef>
          </c:xVal>
          <c:yVal>
            <c:numRef>
              <c:f>'100_9010'!$G$38:$G$44</c:f>
              <c:numCache>
                <c:formatCode>General</c:formatCode>
                <c:ptCount val="7"/>
                <c:pt idx="0">
                  <c:v>119.7</c:v>
                </c:pt>
                <c:pt idx="1">
                  <c:v>127.68</c:v>
                </c:pt>
                <c:pt idx="2">
                  <c:v>135.66</c:v>
                </c:pt>
                <c:pt idx="3">
                  <c:v>143.64000000000001</c:v>
                </c:pt>
                <c:pt idx="4">
                  <c:v>151.62</c:v>
                </c:pt>
                <c:pt idx="5">
                  <c:v>159.60000000000002</c:v>
                </c:pt>
                <c:pt idx="6">
                  <c:v>199.5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6247264"/>
        <c:axId val="436249224"/>
      </c:scatterChart>
      <c:valAx>
        <c:axId val="43624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9224"/>
        <c:crosses val="autoZero"/>
        <c:crossBetween val="midCat"/>
      </c:valAx>
      <c:valAx>
        <c:axId val="436249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6247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9.xml"/><Relationship Id="rId2" Type="http://schemas.openxmlformats.org/officeDocument/2006/relationships/chart" Target="../charts/chart58.xml"/><Relationship Id="rId1" Type="http://schemas.openxmlformats.org/officeDocument/2006/relationships/chart" Target="../charts/chart57.xml"/><Relationship Id="rId6" Type="http://schemas.openxmlformats.org/officeDocument/2006/relationships/chart" Target="../charts/chart62.xml"/><Relationship Id="rId5" Type="http://schemas.openxmlformats.org/officeDocument/2006/relationships/chart" Target="../charts/chart61.xml"/><Relationship Id="rId4" Type="http://schemas.openxmlformats.org/officeDocument/2006/relationships/chart" Target="../charts/chart6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5.xml"/><Relationship Id="rId2" Type="http://schemas.openxmlformats.org/officeDocument/2006/relationships/chart" Target="../charts/chart64.xml"/><Relationship Id="rId1" Type="http://schemas.openxmlformats.org/officeDocument/2006/relationships/chart" Target="../charts/chart63.xml"/><Relationship Id="rId6" Type="http://schemas.openxmlformats.org/officeDocument/2006/relationships/chart" Target="../charts/chart68.xml"/><Relationship Id="rId5" Type="http://schemas.openxmlformats.org/officeDocument/2006/relationships/chart" Target="../charts/chart67.xml"/><Relationship Id="rId4" Type="http://schemas.openxmlformats.org/officeDocument/2006/relationships/chart" Target="../charts/chart66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1.xml"/><Relationship Id="rId2" Type="http://schemas.openxmlformats.org/officeDocument/2006/relationships/chart" Target="../charts/chart70.xml"/><Relationship Id="rId1" Type="http://schemas.openxmlformats.org/officeDocument/2006/relationships/chart" Target="../charts/chart69.xml"/><Relationship Id="rId6" Type="http://schemas.openxmlformats.org/officeDocument/2006/relationships/chart" Target="../charts/chart74.xml"/><Relationship Id="rId5" Type="http://schemas.openxmlformats.org/officeDocument/2006/relationships/chart" Target="../charts/chart73.xml"/><Relationship Id="rId4" Type="http://schemas.openxmlformats.org/officeDocument/2006/relationships/chart" Target="../charts/chart72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7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4" Type="http://schemas.openxmlformats.org/officeDocument/2006/relationships/chart" Target="../charts/chart78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1.xml"/><Relationship Id="rId2" Type="http://schemas.openxmlformats.org/officeDocument/2006/relationships/chart" Target="../charts/chart80.xml"/><Relationship Id="rId1" Type="http://schemas.openxmlformats.org/officeDocument/2006/relationships/chart" Target="../charts/chart79.xml"/><Relationship Id="rId4" Type="http://schemas.openxmlformats.org/officeDocument/2006/relationships/chart" Target="../charts/chart82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5.xml"/><Relationship Id="rId2" Type="http://schemas.openxmlformats.org/officeDocument/2006/relationships/chart" Target="../charts/chart84.xml"/><Relationship Id="rId1" Type="http://schemas.openxmlformats.org/officeDocument/2006/relationships/chart" Target="../charts/chart83.xml"/><Relationship Id="rId4" Type="http://schemas.openxmlformats.org/officeDocument/2006/relationships/chart" Target="../charts/chart86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9.xml"/><Relationship Id="rId2" Type="http://schemas.openxmlformats.org/officeDocument/2006/relationships/chart" Target="../charts/chart88.xml"/><Relationship Id="rId1" Type="http://schemas.openxmlformats.org/officeDocument/2006/relationships/chart" Target="../charts/chart87.xml"/><Relationship Id="rId4" Type="http://schemas.openxmlformats.org/officeDocument/2006/relationships/chart" Target="../charts/chart90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3.xml"/><Relationship Id="rId2" Type="http://schemas.openxmlformats.org/officeDocument/2006/relationships/chart" Target="../charts/chart92.xml"/><Relationship Id="rId1" Type="http://schemas.openxmlformats.org/officeDocument/2006/relationships/chart" Target="../charts/chart91.xml"/><Relationship Id="rId6" Type="http://schemas.openxmlformats.org/officeDocument/2006/relationships/chart" Target="../charts/chart96.xml"/><Relationship Id="rId5" Type="http://schemas.openxmlformats.org/officeDocument/2006/relationships/chart" Target="../charts/chart95.xml"/><Relationship Id="rId4" Type="http://schemas.openxmlformats.org/officeDocument/2006/relationships/chart" Target="../charts/chart94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9.xml"/><Relationship Id="rId2" Type="http://schemas.openxmlformats.org/officeDocument/2006/relationships/chart" Target="../charts/chart98.xml"/><Relationship Id="rId1" Type="http://schemas.openxmlformats.org/officeDocument/2006/relationships/chart" Target="../charts/chart97.xml"/><Relationship Id="rId6" Type="http://schemas.openxmlformats.org/officeDocument/2006/relationships/chart" Target="../charts/chart102.xml"/><Relationship Id="rId5" Type="http://schemas.openxmlformats.org/officeDocument/2006/relationships/chart" Target="../charts/chart101.xml"/><Relationship Id="rId4" Type="http://schemas.openxmlformats.org/officeDocument/2006/relationships/chart" Target="../charts/chart100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5.xml"/><Relationship Id="rId2" Type="http://schemas.openxmlformats.org/officeDocument/2006/relationships/chart" Target="../charts/chart104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5" Type="http://schemas.openxmlformats.org/officeDocument/2006/relationships/chart" Target="../charts/chart107.xml"/><Relationship Id="rId4" Type="http://schemas.openxmlformats.org/officeDocument/2006/relationships/chart" Target="../charts/chart10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1.xml"/><Relationship Id="rId2" Type="http://schemas.openxmlformats.org/officeDocument/2006/relationships/chart" Target="../charts/chart110.xml"/><Relationship Id="rId1" Type="http://schemas.openxmlformats.org/officeDocument/2006/relationships/chart" Target="../charts/chart109.xml"/><Relationship Id="rId4" Type="http://schemas.openxmlformats.org/officeDocument/2006/relationships/chart" Target="../charts/chart112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5.xml"/><Relationship Id="rId2" Type="http://schemas.openxmlformats.org/officeDocument/2006/relationships/chart" Target="../charts/chart114.xml"/><Relationship Id="rId1" Type="http://schemas.openxmlformats.org/officeDocument/2006/relationships/chart" Target="../charts/chart113.xml"/><Relationship Id="rId4" Type="http://schemas.openxmlformats.org/officeDocument/2006/relationships/chart" Target="../charts/chart116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9.xml"/><Relationship Id="rId2" Type="http://schemas.openxmlformats.org/officeDocument/2006/relationships/chart" Target="../charts/chart118.xml"/><Relationship Id="rId1" Type="http://schemas.openxmlformats.org/officeDocument/2006/relationships/chart" Target="../charts/chart117.xml"/><Relationship Id="rId4" Type="http://schemas.openxmlformats.org/officeDocument/2006/relationships/chart" Target="../charts/chart120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3.xml"/><Relationship Id="rId2" Type="http://schemas.openxmlformats.org/officeDocument/2006/relationships/chart" Target="../charts/chart122.xml"/><Relationship Id="rId1" Type="http://schemas.openxmlformats.org/officeDocument/2006/relationships/chart" Target="../charts/chart121.xml"/><Relationship Id="rId5" Type="http://schemas.openxmlformats.org/officeDocument/2006/relationships/chart" Target="../charts/chart125.xml"/><Relationship Id="rId4" Type="http://schemas.openxmlformats.org/officeDocument/2006/relationships/chart" Target="../charts/chart12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chart" Target="../charts/chart34.xml"/><Relationship Id="rId5" Type="http://schemas.openxmlformats.org/officeDocument/2006/relationships/chart" Target="../charts/chart33.xml"/><Relationship Id="rId4" Type="http://schemas.openxmlformats.org/officeDocument/2006/relationships/chart" Target="../charts/chart3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4" Type="http://schemas.openxmlformats.org/officeDocument/2006/relationships/chart" Target="../charts/chart3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Relationship Id="rId6" Type="http://schemas.openxmlformats.org/officeDocument/2006/relationships/chart" Target="../charts/chart44.xml"/><Relationship Id="rId5" Type="http://schemas.openxmlformats.org/officeDocument/2006/relationships/chart" Target="../charts/chart43.xml"/><Relationship Id="rId4" Type="http://schemas.openxmlformats.org/officeDocument/2006/relationships/chart" Target="../charts/chart42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7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4" Type="http://schemas.openxmlformats.org/officeDocument/2006/relationships/chart" Target="../charts/chart4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3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5" Type="http://schemas.openxmlformats.org/officeDocument/2006/relationships/chart" Target="../charts/chart55.xml"/><Relationship Id="rId4" Type="http://schemas.openxmlformats.org/officeDocument/2006/relationships/chart" Target="../charts/chart5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0</xdr:row>
      <xdr:rowOff>123825</xdr:rowOff>
    </xdr:from>
    <xdr:to>
      <xdr:col>15</xdr:col>
      <xdr:colOff>466725</xdr:colOff>
      <xdr:row>15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590550</xdr:colOff>
      <xdr:row>15</xdr:row>
      <xdr:rowOff>180975</xdr:rowOff>
    </xdr:from>
    <xdr:to>
      <xdr:col>15</xdr:col>
      <xdr:colOff>285750</xdr:colOff>
      <xdr:row>30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76200</xdr:colOff>
      <xdr:row>31</xdr:row>
      <xdr:rowOff>85725</xdr:rowOff>
    </xdr:from>
    <xdr:to>
      <xdr:col>15</xdr:col>
      <xdr:colOff>381000</xdr:colOff>
      <xdr:row>45</xdr:row>
      <xdr:rowOff>161925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95250</xdr:colOff>
      <xdr:row>47</xdr:row>
      <xdr:rowOff>19050</xdr:rowOff>
    </xdr:from>
    <xdr:to>
      <xdr:col>15</xdr:col>
      <xdr:colOff>400050</xdr:colOff>
      <xdr:row>61</xdr:row>
      <xdr:rowOff>95250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590550</xdr:colOff>
      <xdr:row>63</xdr:row>
      <xdr:rowOff>0</xdr:rowOff>
    </xdr:from>
    <xdr:to>
      <xdr:col>15</xdr:col>
      <xdr:colOff>285750</xdr:colOff>
      <xdr:row>77</xdr:row>
      <xdr:rowOff>76200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242887</xdr:colOff>
      <xdr:row>79</xdr:row>
      <xdr:rowOff>0</xdr:rowOff>
    </xdr:from>
    <xdr:to>
      <xdr:col>14</xdr:col>
      <xdr:colOff>547687</xdr:colOff>
      <xdr:row>93</xdr:row>
      <xdr:rowOff>76200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28</xdr:col>
      <xdr:colOff>309562</xdr:colOff>
      <xdr:row>2</xdr:row>
      <xdr:rowOff>123825</xdr:rowOff>
    </xdr:from>
    <xdr:to>
      <xdr:col>36</xdr:col>
      <xdr:colOff>4762</xdr:colOff>
      <xdr:row>17</xdr:row>
      <xdr:rowOff>9525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71437</xdr:colOff>
      <xdr:row>18</xdr:row>
      <xdr:rowOff>38100</xdr:rowOff>
    </xdr:from>
    <xdr:to>
      <xdr:col>36</xdr:col>
      <xdr:colOff>376237</xdr:colOff>
      <xdr:row>32</xdr:row>
      <xdr:rowOff>114300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28</xdr:col>
      <xdr:colOff>409575</xdr:colOff>
      <xdr:row>33</xdr:row>
      <xdr:rowOff>133350</xdr:rowOff>
    </xdr:from>
    <xdr:to>
      <xdr:col>36</xdr:col>
      <xdr:colOff>104775</xdr:colOff>
      <xdr:row>48</xdr:row>
      <xdr:rowOff>19050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28</xdr:col>
      <xdr:colOff>419100</xdr:colOff>
      <xdr:row>49</xdr:row>
      <xdr:rowOff>38100</xdr:rowOff>
    </xdr:from>
    <xdr:to>
      <xdr:col>36</xdr:col>
      <xdr:colOff>114300</xdr:colOff>
      <xdr:row>63</xdr:row>
      <xdr:rowOff>114300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28</xdr:col>
      <xdr:colOff>419100</xdr:colOff>
      <xdr:row>65</xdr:row>
      <xdr:rowOff>104775</xdr:rowOff>
    </xdr:from>
    <xdr:to>
      <xdr:col>36</xdr:col>
      <xdr:colOff>114300</xdr:colOff>
      <xdr:row>79</xdr:row>
      <xdr:rowOff>180975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28</xdr:col>
      <xdr:colOff>371475</xdr:colOff>
      <xdr:row>81</xdr:row>
      <xdr:rowOff>28575</xdr:rowOff>
    </xdr:from>
    <xdr:to>
      <xdr:col>36</xdr:col>
      <xdr:colOff>66675</xdr:colOff>
      <xdr:row>95</xdr:row>
      <xdr:rowOff>104775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0</xdr:row>
      <xdr:rowOff>57150</xdr:rowOff>
    </xdr:from>
    <xdr:to>
      <xdr:col>15</xdr:col>
      <xdr:colOff>85725</xdr:colOff>
      <xdr:row>14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342900</xdr:colOff>
      <xdr:row>15</xdr:row>
      <xdr:rowOff>161925</xdr:rowOff>
    </xdr:from>
    <xdr:to>
      <xdr:col>15</xdr:col>
      <xdr:colOff>38100</xdr:colOff>
      <xdr:row>30</xdr:row>
      <xdr:rowOff>47625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400050</xdr:colOff>
      <xdr:row>32</xdr:row>
      <xdr:rowOff>114300</xdr:rowOff>
    </xdr:from>
    <xdr:to>
      <xdr:col>15</xdr:col>
      <xdr:colOff>95250</xdr:colOff>
      <xdr:row>47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419100</xdr:colOff>
      <xdr:row>47</xdr:row>
      <xdr:rowOff>171450</xdr:rowOff>
    </xdr:from>
    <xdr:to>
      <xdr:col>15</xdr:col>
      <xdr:colOff>114300</xdr:colOff>
      <xdr:row>62</xdr:row>
      <xdr:rowOff>57150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390525</xdr:colOff>
      <xdr:row>64</xdr:row>
      <xdr:rowOff>19050</xdr:rowOff>
    </xdr:from>
    <xdr:to>
      <xdr:col>15</xdr:col>
      <xdr:colOff>85725</xdr:colOff>
      <xdr:row>78</xdr:row>
      <xdr:rowOff>95250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342900</xdr:colOff>
      <xdr:row>80</xdr:row>
      <xdr:rowOff>57150</xdr:rowOff>
    </xdr:from>
    <xdr:to>
      <xdr:col>15</xdr:col>
      <xdr:colOff>38100</xdr:colOff>
      <xdr:row>94</xdr:row>
      <xdr:rowOff>133350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485775</xdr:colOff>
      <xdr:row>0</xdr:row>
      <xdr:rowOff>119062</xdr:rowOff>
    </xdr:from>
    <xdr:to>
      <xdr:col>14</xdr:col>
      <xdr:colOff>257175</xdr:colOff>
      <xdr:row>15</xdr:row>
      <xdr:rowOff>4762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476250</xdr:colOff>
      <xdr:row>15</xdr:row>
      <xdr:rowOff>185737</xdr:rowOff>
    </xdr:from>
    <xdr:to>
      <xdr:col>14</xdr:col>
      <xdr:colOff>247650</xdr:colOff>
      <xdr:row>30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438150</xdr:colOff>
      <xdr:row>32</xdr:row>
      <xdr:rowOff>14287</xdr:rowOff>
    </xdr:from>
    <xdr:to>
      <xdr:col>14</xdr:col>
      <xdr:colOff>209550</xdr:colOff>
      <xdr:row>46</xdr:row>
      <xdr:rowOff>90487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390525</xdr:colOff>
      <xdr:row>47</xdr:row>
      <xdr:rowOff>138112</xdr:rowOff>
    </xdr:from>
    <xdr:to>
      <xdr:col>14</xdr:col>
      <xdr:colOff>161925</xdr:colOff>
      <xdr:row>62</xdr:row>
      <xdr:rowOff>23812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447675</xdr:colOff>
      <xdr:row>64</xdr:row>
      <xdr:rowOff>23812</xdr:rowOff>
    </xdr:from>
    <xdr:to>
      <xdr:col>14</xdr:col>
      <xdr:colOff>219075</xdr:colOff>
      <xdr:row>78</xdr:row>
      <xdr:rowOff>100012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79</xdr:row>
      <xdr:rowOff>52387</xdr:rowOff>
    </xdr:from>
    <xdr:to>
      <xdr:col>14</xdr:col>
      <xdr:colOff>266700</xdr:colOff>
      <xdr:row>93</xdr:row>
      <xdr:rowOff>128587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361950</xdr:colOff>
      <xdr:row>1</xdr:row>
      <xdr:rowOff>47625</xdr:rowOff>
    </xdr:from>
    <xdr:to>
      <xdr:col>15</xdr:col>
      <xdr:colOff>57150</xdr:colOff>
      <xdr:row>15</xdr:row>
      <xdr:rowOff>123825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342900</xdr:colOff>
      <xdr:row>16</xdr:row>
      <xdr:rowOff>180975</xdr:rowOff>
    </xdr:from>
    <xdr:to>
      <xdr:col>15</xdr:col>
      <xdr:colOff>38100</xdr:colOff>
      <xdr:row>31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352425</xdr:colOff>
      <xdr:row>32</xdr:row>
      <xdr:rowOff>180975</xdr:rowOff>
    </xdr:from>
    <xdr:to>
      <xdr:col>15</xdr:col>
      <xdr:colOff>47625</xdr:colOff>
      <xdr:row>47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409575</xdr:colOff>
      <xdr:row>48</xdr:row>
      <xdr:rowOff>171450</xdr:rowOff>
    </xdr:from>
    <xdr:to>
      <xdr:col>15</xdr:col>
      <xdr:colOff>104775</xdr:colOff>
      <xdr:row>63</xdr:row>
      <xdr:rowOff>57150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352425</xdr:colOff>
      <xdr:row>64</xdr:row>
      <xdr:rowOff>9525</xdr:rowOff>
    </xdr:from>
    <xdr:to>
      <xdr:col>15</xdr:col>
      <xdr:colOff>47625</xdr:colOff>
      <xdr:row>78</xdr:row>
      <xdr:rowOff>85725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400050</xdr:colOff>
      <xdr:row>79</xdr:row>
      <xdr:rowOff>66675</xdr:rowOff>
    </xdr:from>
    <xdr:to>
      <xdr:col>15</xdr:col>
      <xdr:colOff>95250</xdr:colOff>
      <xdr:row>93</xdr:row>
      <xdr:rowOff>142875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560917</xdr:colOff>
      <xdr:row>1</xdr:row>
      <xdr:rowOff>73024</xdr:rowOff>
    </xdr:from>
    <xdr:to>
      <xdr:col>14</xdr:col>
      <xdr:colOff>317500</xdr:colOff>
      <xdr:row>15</xdr:row>
      <xdr:rowOff>149224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476250</xdr:colOff>
      <xdr:row>17</xdr:row>
      <xdr:rowOff>9524</xdr:rowOff>
    </xdr:from>
    <xdr:to>
      <xdr:col>14</xdr:col>
      <xdr:colOff>232833</xdr:colOff>
      <xdr:row>31</xdr:row>
      <xdr:rowOff>85724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476250</xdr:colOff>
      <xdr:row>32</xdr:row>
      <xdr:rowOff>94191</xdr:rowOff>
    </xdr:from>
    <xdr:to>
      <xdr:col>14</xdr:col>
      <xdr:colOff>232833</xdr:colOff>
      <xdr:row>46</xdr:row>
      <xdr:rowOff>170391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433916</xdr:colOff>
      <xdr:row>50</xdr:row>
      <xdr:rowOff>104773</xdr:rowOff>
    </xdr:from>
    <xdr:to>
      <xdr:col>14</xdr:col>
      <xdr:colOff>190499</xdr:colOff>
      <xdr:row>64</xdr:row>
      <xdr:rowOff>180973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1</xdr:row>
      <xdr:rowOff>100012</xdr:rowOff>
    </xdr:from>
    <xdr:to>
      <xdr:col>14</xdr:col>
      <xdr:colOff>104775</xdr:colOff>
      <xdr:row>15</xdr:row>
      <xdr:rowOff>176212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381000</xdr:colOff>
      <xdr:row>17</xdr:row>
      <xdr:rowOff>71437</xdr:rowOff>
    </xdr:from>
    <xdr:to>
      <xdr:col>14</xdr:col>
      <xdr:colOff>152400</xdr:colOff>
      <xdr:row>31</xdr:row>
      <xdr:rowOff>147637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180975</xdr:colOff>
      <xdr:row>33</xdr:row>
      <xdr:rowOff>4762</xdr:rowOff>
    </xdr:from>
    <xdr:to>
      <xdr:col>14</xdr:col>
      <xdr:colOff>638175</xdr:colOff>
      <xdr:row>47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95250</xdr:colOff>
      <xdr:row>49</xdr:row>
      <xdr:rowOff>14287</xdr:rowOff>
    </xdr:from>
    <xdr:to>
      <xdr:col>14</xdr:col>
      <xdr:colOff>552450</xdr:colOff>
      <xdr:row>63</xdr:row>
      <xdr:rowOff>90487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219075</xdr:colOff>
      <xdr:row>0</xdr:row>
      <xdr:rowOff>80962</xdr:rowOff>
    </xdr:from>
    <xdr:to>
      <xdr:col>13</xdr:col>
      <xdr:colOff>676275</xdr:colOff>
      <xdr:row>14</xdr:row>
      <xdr:rowOff>157162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295275</xdr:colOff>
      <xdr:row>16</xdr:row>
      <xdr:rowOff>138112</xdr:rowOff>
    </xdr:from>
    <xdr:to>
      <xdr:col>14</xdr:col>
      <xdr:colOff>66675</xdr:colOff>
      <xdr:row>31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266700</xdr:colOff>
      <xdr:row>32</xdr:row>
      <xdr:rowOff>80962</xdr:rowOff>
    </xdr:from>
    <xdr:to>
      <xdr:col>15</xdr:col>
      <xdr:colOff>38100</xdr:colOff>
      <xdr:row>46</xdr:row>
      <xdr:rowOff>157162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323850</xdr:colOff>
      <xdr:row>48</xdr:row>
      <xdr:rowOff>52387</xdr:rowOff>
    </xdr:from>
    <xdr:to>
      <xdr:col>15</xdr:col>
      <xdr:colOff>95250</xdr:colOff>
      <xdr:row>62</xdr:row>
      <xdr:rowOff>128587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0</xdr:row>
      <xdr:rowOff>133350</xdr:rowOff>
    </xdr:from>
    <xdr:to>
      <xdr:col>15</xdr:col>
      <xdr:colOff>28575</xdr:colOff>
      <xdr:row>15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352425</xdr:colOff>
      <xdr:row>16</xdr:row>
      <xdr:rowOff>47625</xdr:rowOff>
    </xdr:from>
    <xdr:to>
      <xdr:col>15</xdr:col>
      <xdr:colOff>47625</xdr:colOff>
      <xdr:row>30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409575</xdr:colOff>
      <xdr:row>31</xdr:row>
      <xdr:rowOff>171450</xdr:rowOff>
    </xdr:from>
    <xdr:to>
      <xdr:col>15</xdr:col>
      <xdr:colOff>104775</xdr:colOff>
      <xdr:row>46</xdr:row>
      <xdr:rowOff>57150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457200</xdr:colOff>
      <xdr:row>47</xdr:row>
      <xdr:rowOff>47625</xdr:rowOff>
    </xdr:from>
    <xdr:to>
      <xdr:col>15</xdr:col>
      <xdr:colOff>152400</xdr:colOff>
      <xdr:row>61</xdr:row>
      <xdr:rowOff>123825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15</xdr:col>
      <xdr:colOff>304800</xdr:colOff>
      <xdr:row>15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16</xdr:row>
      <xdr:rowOff>133350</xdr:rowOff>
    </xdr:from>
    <xdr:to>
      <xdr:col>15</xdr:col>
      <xdr:colOff>304800</xdr:colOff>
      <xdr:row>31</xdr:row>
      <xdr:rowOff>19050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</xdr:colOff>
      <xdr:row>30</xdr:row>
      <xdr:rowOff>114300</xdr:rowOff>
    </xdr:from>
    <xdr:to>
      <xdr:col>15</xdr:col>
      <xdr:colOff>361950</xdr:colOff>
      <xdr:row>45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57150</xdr:colOff>
      <xdr:row>46</xdr:row>
      <xdr:rowOff>47625</xdr:rowOff>
    </xdr:from>
    <xdr:to>
      <xdr:col>15</xdr:col>
      <xdr:colOff>361950</xdr:colOff>
      <xdr:row>60</xdr:row>
      <xdr:rowOff>123825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76200</xdr:colOff>
      <xdr:row>62</xdr:row>
      <xdr:rowOff>19050</xdr:rowOff>
    </xdr:from>
    <xdr:to>
      <xdr:col>15</xdr:col>
      <xdr:colOff>381000</xdr:colOff>
      <xdr:row>76</xdr:row>
      <xdr:rowOff>95250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95250</xdr:colOff>
      <xdr:row>77</xdr:row>
      <xdr:rowOff>152400</xdr:rowOff>
    </xdr:from>
    <xdr:to>
      <xdr:col>15</xdr:col>
      <xdr:colOff>400050</xdr:colOff>
      <xdr:row>92</xdr:row>
      <xdr:rowOff>38100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314325</xdr:colOff>
      <xdr:row>0</xdr:row>
      <xdr:rowOff>95250</xdr:rowOff>
    </xdr:from>
    <xdr:to>
      <xdr:col>14</xdr:col>
      <xdr:colOff>85725</xdr:colOff>
      <xdr:row>14</xdr:row>
      <xdr:rowOff>171450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266700</xdr:colOff>
      <xdr:row>16</xdr:row>
      <xdr:rowOff>9525</xdr:rowOff>
    </xdr:from>
    <xdr:to>
      <xdr:col>14</xdr:col>
      <xdr:colOff>38100</xdr:colOff>
      <xdr:row>30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285750</xdr:colOff>
      <xdr:row>31</xdr:row>
      <xdr:rowOff>104775</xdr:rowOff>
    </xdr:from>
    <xdr:to>
      <xdr:col>14</xdr:col>
      <xdr:colOff>57150</xdr:colOff>
      <xdr:row>45</xdr:row>
      <xdr:rowOff>180975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304800</xdr:colOff>
      <xdr:row>47</xdr:row>
      <xdr:rowOff>19050</xdr:rowOff>
    </xdr:from>
    <xdr:to>
      <xdr:col>14</xdr:col>
      <xdr:colOff>76200</xdr:colOff>
      <xdr:row>61</xdr:row>
      <xdr:rowOff>95250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285750</xdr:colOff>
      <xdr:row>63</xdr:row>
      <xdr:rowOff>38100</xdr:rowOff>
    </xdr:from>
    <xdr:to>
      <xdr:col>14</xdr:col>
      <xdr:colOff>57150</xdr:colOff>
      <xdr:row>77</xdr:row>
      <xdr:rowOff>114300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304800</xdr:colOff>
      <xdr:row>79</xdr:row>
      <xdr:rowOff>47625</xdr:rowOff>
    </xdr:from>
    <xdr:to>
      <xdr:col>14</xdr:col>
      <xdr:colOff>76200</xdr:colOff>
      <xdr:row>93</xdr:row>
      <xdr:rowOff>123825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352425</xdr:colOff>
      <xdr:row>0</xdr:row>
      <xdr:rowOff>123825</xdr:rowOff>
    </xdr:from>
    <xdr:to>
      <xdr:col>14</xdr:col>
      <xdr:colOff>123825</xdr:colOff>
      <xdr:row>15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361950</xdr:colOff>
      <xdr:row>16</xdr:row>
      <xdr:rowOff>9525</xdr:rowOff>
    </xdr:from>
    <xdr:to>
      <xdr:col>14</xdr:col>
      <xdr:colOff>133350</xdr:colOff>
      <xdr:row>30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390525</xdr:colOff>
      <xdr:row>31</xdr:row>
      <xdr:rowOff>57150</xdr:rowOff>
    </xdr:from>
    <xdr:to>
      <xdr:col>14</xdr:col>
      <xdr:colOff>161925</xdr:colOff>
      <xdr:row>45</xdr:row>
      <xdr:rowOff>133350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381000</xdr:colOff>
      <xdr:row>47</xdr:row>
      <xdr:rowOff>28575</xdr:rowOff>
    </xdr:from>
    <xdr:to>
      <xdr:col>14</xdr:col>
      <xdr:colOff>152400</xdr:colOff>
      <xdr:row>61</xdr:row>
      <xdr:rowOff>104775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342900</xdr:colOff>
      <xdr:row>62</xdr:row>
      <xdr:rowOff>171450</xdr:rowOff>
    </xdr:from>
    <xdr:to>
      <xdr:col>14</xdr:col>
      <xdr:colOff>114300</xdr:colOff>
      <xdr:row>77</xdr:row>
      <xdr:rowOff>57150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314325</xdr:colOff>
      <xdr:row>79</xdr:row>
      <xdr:rowOff>9525</xdr:rowOff>
    </xdr:from>
    <xdr:to>
      <xdr:col>14</xdr:col>
      <xdr:colOff>85725</xdr:colOff>
      <xdr:row>93</xdr:row>
      <xdr:rowOff>85725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576262</xdr:colOff>
      <xdr:row>0</xdr:row>
      <xdr:rowOff>152400</xdr:rowOff>
    </xdr:from>
    <xdr:to>
      <xdr:col>15</xdr:col>
      <xdr:colOff>271462</xdr:colOff>
      <xdr:row>15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600075</xdr:colOff>
      <xdr:row>16</xdr:row>
      <xdr:rowOff>47625</xdr:rowOff>
    </xdr:from>
    <xdr:to>
      <xdr:col>15</xdr:col>
      <xdr:colOff>295275</xdr:colOff>
      <xdr:row>30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571500</xdr:colOff>
      <xdr:row>33</xdr:row>
      <xdr:rowOff>9525</xdr:rowOff>
    </xdr:from>
    <xdr:to>
      <xdr:col>15</xdr:col>
      <xdr:colOff>266700</xdr:colOff>
      <xdr:row>47</xdr:row>
      <xdr:rowOff>85725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49</xdr:row>
      <xdr:rowOff>0</xdr:rowOff>
    </xdr:from>
    <xdr:to>
      <xdr:col>15</xdr:col>
      <xdr:colOff>304800</xdr:colOff>
      <xdr:row>63</xdr:row>
      <xdr:rowOff>76200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65</xdr:row>
      <xdr:rowOff>19050</xdr:rowOff>
    </xdr:from>
    <xdr:to>
      <xdr:col>15</xdr:col>
      <xdr:colOff>304800</xdr:colOff>
      <xdr:row>79</xdr:row>
      <xdr:rowOff>95250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581025</xdr:colOff>
      <xdr:row>81</xdr:row>
      <xdr:rowOff>9525</xdr:rowOff>
    </xdr:from>
    <xdr:to>
      <xdr:col>15</xdr:col>
      <xdr:colOff>276225</xdr:colOff>
      <xdr:row>95</xdr:row>
      <xdr:rowOff>85725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352425</xdr:colOff>
      <xdr:row>0</xdr:row>
      <xdr:rowOff>171450</xdr:rowOff>
    </xdr:from>
    <xdr:to>
      <xdr:col>14</xdr:col>
      <xdr:colOff>123825</xdr:colOff>
      <xdr:row>15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295275</xdr:colOff>
      <xdr:row>17</xdr:row>
      <xdr:rowOff>0</xdr:rowOff>
    </xdr:from>
    <xdr:to>
      <xdr:col>14</xdr:col>
      <xdr:colOff>66675</xdr:colOff>
      <xdr:row>31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171450</xdr:colOff>
      <xdr:row>34</xdr:row>
      <xdr:rowOff>142875</xdr:rowOff>
    </xdr:from>
    <xdr:to>
      <xdr:col>13</xdr:col>
      <xdr:colOff>628650</xdr:colOff>
      <xdr:row>49</xdr:row>
      <xdr:rowOff>28575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238125</xdr:colOff>
      <xdr:row>51</xdr:row>
      <xdr:rowOff>0</xdr:rowOff>
    </xdr:from>
    <xdr:to>
      <xdr:col>14</xdr:col>
      <xdr:colOff>9525</xdr:colOff>
      <xdr:row>65</xdr:row>
      <xdr:rowOff>76200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497897</xdr:colOff>
      <xdr:row>26</xdr:row>
      <xdr:rowOff>65809</xdr:rowOff>
    </xdr:from>
    <xdr:to>
      <xdr:col>4</xdr:col>
      <xdr:colOff>95249</xdr:colOff>
      <xdr:row>40</xdr:row>
      <xdr:rowOff>142009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12987</xdr:colOff>
      <xdr:row>26</xdr:row>
      <xdr:rowOff>65810</xdr:rowOff>
    </xdr:from>
    <xdr:to>
      <xdr:col>10</xdr:col>
      <xdr:colOff>948169</xdr:colOff>
      <xdr:row>40</xdr:row>
      <xdr:rowOff>142010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44738</xdr:colOff>
      <xdr:row>51</xdr:row>
      <xdr:rowOff>35502</xdr:rowOff>
    </xdr:from>
    <xdr:to>
      <xdr:col>3</xdr:col>
      <xdr:colOff>571500</xdr:colOff>
      <xdr:row>70</xdr:row>
      <xdr:rowOff>158750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614362</xdr:colOff>
      <xdr:row>51</xdr:row>
      <xdr:rowOff>38100</xdr:rowOff>
    </xdr:from>
    <xdr:to>
      <xdr:col>6</xdr:col>
      <xdr:colOff>1019175</xdr:colOff>
      <xdr:row>70</xdr:row>
      <xdr:rowOff>166687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17</xdr:row>
      <xdr:rowOff>47625</xdr:rowOff>
    </xdr:from>
    <xdr:to>
      <xdr:col>7</xdr:col>
      <xdr:colOff>104775</xdr:colOff>
      <xdr:row>31</xdr:row>
      <xdr:rowOff>123825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589359</xdr:colOff>
      <xdr:row>17</xdr:row>
      <xdr:rowOff>7143</xdr:rowOff>
    </xdr:from>
    <xdr:to>
      <xdr:col>13</xdr:col>
      <xdr:colOff>2721</xdr:colOff>
      <xdr:row>31</xdr:row>
      <xdr:rowOff>133350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12633</xdr:colOff>
      <xdr:row>42</xdr:row>
      <xdr:rowOff>29158</xdr:rowOff>
    </xdr:from>
    <xdr:to>
      <xdr:col>6</xdr:col>
      <xdr:colOff>242984</xdr:colOff>
      <xdr:row>62</xdr:row>
      <xdr:rowOff>48597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2914</xdr:colOff>
      <xdr:row>42</xdr:row>
      <xdr:rowOff>29157</xdr:rowOff>
    </xdr:from>
    <xdr:to>
      <xdr:col>11</xdr:col>
      <xdr:colOff>320739</xdr:colOff>
      <xdr:row>62</xdr:row>
      <xdr:rowOff>68035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</xdr:colOff>
      <xdr:row>16</xdr:row>
      <xdr:rowOff>66675</xdr:rowOff>
    </xdr:from>
    <xdr:to>
      <xdr:col>8</xdr:col>
      <xdr:colOff>414337</xdr:colOff>
      <xdr:row>30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1183822</xdr:colOff>
      <xdr:row>17</xdr:row>
      <xdr:rowOff>16328</xdr:rowOff>
    </xdr:from>
    <xdr:to>
      <xdr:col>16</xdr:col>
      <xdr:colOff>122464</xdr:colOff>
      <xdr:row>31</xdr:row>
      <xdr:rowOff>92528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16</xdr:col>
      <xdr:colOff>140257</xdr:colOff>
      <xdr:row>47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3664</xdr:colOff>
      <xdr:row>24</xdr:row>
      <xdr:rowOff>185371</xdr:rowOff>
    </xdr:from>
    <xdr:to>
      <xdr:col>20</xdr:col>
      <xdr:colOff>439615</xdr:colOff>
      <xdr:row>45</xdr:row>
      <xdr:rowOff>21981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1189133</xdr:colOff>
      <xdr:row>24</xdr:row>
      <xdr:rowOff>183958</xdr:rowOff>
    </xdr:from>
    <xdr:to>
      <xdr:col>26</xdr:col>
      <xdr:colOff>190500</xdr:colOff>
      <xdr:row>45</xdr:row>
      <xdr:rowOff>19050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276225</xdr:colOff>
      <xdr:row>0</xdr:row>
      <xdr:rowOff>180975</xdr:rowOff>
    </xdr:from>
    <xdr:to>
      <xdr:col>14</xdr:col>
      <xdr:colOff>581025</xdr:colOff>
      <xdr:row>15</xdr:row>
      <xdr:rowOff>66675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266700</xdr:colOff>
      <xdr:row>16</xdr:row>
      <xdr:rowOff>0</xdr:rowOff>
    </xdr:from>
    <xdr:to>
      <xdr:col>14</xdr:col>
      <xdr:colOff>571500</xdr:colOff>
      <xdr:row>30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304800</xdr:colOff>
      <xdr:row>31</xdr:row>
      <xdr:rowOff>19050</xdr:rowOff>
    </xdr:from>
    <xdr:to>
      <xdr:col>15</xdr:col>
      <xdr:colOff>0</xdr:colOff>
      <xdr:row>45</xdr:row>
      <xdr:rowOff>95250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314325</xdr:colOff>
      <xdr:row>46</xdr:row>
      <xdr:rowOff>180975</xdr:rowOff>
    </xdr:from>
    <xdr:to>
      <xdr:col>15</xdr:col>
      <xdr:colOff>9525</xdr:colOff>
      <xdr:row>61</xdr:row>
      <xdr:rowOff>66675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323850</xdr:colOff>
      <xdr:row>62</xdr:row>
      <xdr:rowOff>0</xdr:rowOff>
    </xdr:from>
    <xdr:to>
      <xdr:col>15</xdr:col>
      <xdr:colOff>19050</xdr:colOff>
      <xdr:row>76</xdr:row>
      <xdr:rowOff>76200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285750</xdr:colOff>
      <xdr:row>78</xdr:row>
      <xdr:rowOff>9525</xdr:rowOff>
    </xdr:from>
    <xdr:to>
      <xdr:col>14</xdr:col>
      <xdr:colOff>590550</xdr:colOff>
      <xdr:row>92</xdr:row>
      <xdr:rowOff>85725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352425</xdr:colOff>
      <xdr:row>1</xdr:row>
      <xdr:rowOff>38100</xdr:rowOff>
    </xdr:from>
    <xdr:to>
      <xdr:col>15</xdr:col>
      <xdr:colOff>47625</xdr:colOff>
      <xdr:row>15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400050</xdr:colOff>
      <xdr:row>17</xdr:row>
      <xdr:rowOff>85725</xdr:rowOff>
    </xdr:from>
    <xdr:to>
      <xdr:col>15</xdr:col>
      <xdr:colOff>95250</xdr:colOff>
      <xdr:row>31</xdr:row>
      <xdr:rowOff>161925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457200</xdr:colOff>
      <xdr:row>33</xdr:row>
      <xdr:rowOff>142875</xdr:rowOff>
    </xdr:from>
    <xdr:to>
      <xdr:col>15</xdr:col>
      <xdr:colOff>152400</xdr:colOff>
      <xdr:row>48</xdr:row>
      <xdr:rowOff>28575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466725</xdr:colOff>
      <xdr:row>49</xdr:row>
      <xdr:rowOff>28575</xdr:rowOff>
    </xdr:from>
    <xdr:to>
      <xdr:col>15</xdr:col>
      <xdr:colOff>161925</xdr:colOff>
      <xdr:row>63</xdr:row>
      <xdr:rowOff>104775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400050</xdr:colOff>
      <xdr:row>0</xdr:row>
      <xdr:rowOff>57150</xdr:rowOff>
    </xdr:from>
    <xdr:to>
      <xdr:col>14</xdr:col>
      <xdr:colOff>171450</xdr:colOff>
      <xdr:row>14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409575</xdr:colOff>
      <xdr:row>16</xdr:row>
      <xdr:rowOff>152400</xdr:rowOff>
    </xdr:from>
    <xdr:to>
      <xdr:col>14</xdr:col>
      <xdr:colOff>180975</xdr:colOff>
      <xdr:row>31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390525</xdr:colOff>
      <xdr:row>32</xdr:row>
      <xdr:rowOff>180975</xdr:rowOff>
    </xdr:from>
    <xdr:to>
      <xdr:col>14</xdr:col>
      <xdr:colOff>161925</xdr:colOff>
      <xdr:row>47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428625</xdr:colOff>
      <xdr:row>49</xdr:row>
      <xdr:rowOff>19050</xdr:rowOff>
    </xdr:from>
    <xdr:to>
      <xdr:col>14</xdr:col>
      <xdr:colOff>200025</xdr:colOff>
      <xdr:row>63</xdr:row>
      <xdr:rowOff>95250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438150</xdr:colOff>
      <xdr:row>65</xdr:row>
      <xdr:rowOff>28575</xdr:rowOff>
    </xdr:from>
    <xdr:to>
      <xdr:col>14</xdr:col>
      <xdr:colOff>209550</xdr:colOff>
      <xdr:row>79</xdr:row>
      <xdr:rowOff>104775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323850</xdr:colOff>
      <xdr:row>80</xdr:row>
      <xdr:rowOff>152400</xdr:rowOff>
    </xdr:from>
    <xdr:to>
      <xdr:col>14</xdr:col>
      <xdr:colOff>95250</xdr:colOff>
      <xdr:row>95</xdr:row>
      <xdr:rowOff>38100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104775</xdr:colOff>
      <xdr:row>0</xdr:row>
      <xdr:rowOff>28575</xdr:rowOff>
    </xdr:from>
    <xdr:to>
      <xdr:col>15</xdr:col>
      <xdr:colOff>409575</xdr:colOff>
      <xdr:row>14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152400</xdr:colOff>
      <xdr:row>16</xdr:row>
      <xdr:rowOff>9525</xdr:rowOff>
    </xdr:from>
    <xdr:to>
      <xdr:col>15</xdr:col>
      <xdr:colOff>457200</xdr:colOff>
      <xdr:row>30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47625</xdr:colOff>
      <xdr:row>64</xdr:row>
      <xdr:rowOff>0</xdr:rowOff>
    </xdr:from>
    <xdr:to>
      <xdr:col>15</xdr:col>
      <xdr:colOff>352425</xdr:colOff>
      <xdr:row>78</xdr:row>
      <xdr:rowOff>76200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38100</xdr:colOff>
      <xdr:row>81</xdr:row>
      <xdr:rowOff>0</xdr:rowOff>
    </xdr:from>
    <xdr:to>
      <xdr:col>15</xdr:col>
      <xdr:colOff>342900</xdr:colOff>
      <xdr:row>95</xdr:row>
      <xdr:rowOff>76200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209550</xdr:colOff>
      <xdr:row>1</xdr:row>
      <xdr:rowOff>66675</xdr:rowOff>
    </xdr:from>
    <xdr:to>
      <xdr:col>13</xdr:col>
      <xdr:colOff>666750</xdr:colOff>
      <xdr:row>15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419100</xdr:colOff>
      <xdr:row>17</xdr:row>
      <xdr:rowOff>19050</xdr:rowOff>
    </xdr:from>
    <xdr:to>
      <xdr:col>14</xdr:col>
      <xdr:colOff>190500</xdr:colOff>
      <xdr:row>31</xdr:row>
      <xdr:rowOff>95250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495300</xdr:colOff>
      <xdr:row>34</xdr:row>
      <xdr:rowOff>19050</xdr:rowOff>
    </xdr:from>
    <xdr:to>
      <xdr:col>14</xdr:col>
      <xdr:colOff>266700</xdr:colOff>
      <xdr:row>48</xdr:row>
      <xdr:rowOff>95250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581025</xdr:colOff>
      <xdr:row>50</xdr:row>
      <xdr:rowOff>9525</xdr:rowOff>
    </xdr:from>
    <xdr:to>
      <xdr:col>14</xdr:col>
      <xdr:colOff>352425</xdr:colOff>
      <xdr:row>64</xdr:row>
      <xdr:rowOff>85725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466725</xdr:colOff>
      <xdr:row>65</xdr:row>
      <xdr:rowOff>76200</xdr:rowOff>
    </xdr:from>
    <xdr:to>
      <xdr:col>14</xdr:col>
      <xdr:colOff>238125</xdr:colOff>
      <xdr:row>79</xdr:row>
      <xdr:rowOff>152400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485775</xdr:colOff>
      <xdr:row>81</xdr:row>
      <xdr:rowOff>47625</xdr:rowOff>
    </xdr:from>
    <xdr:to>
      <xdr:col>14</xdr:col>
      <xdr:colOff>257175</xdr:colOff>
      <xdr:row>95</xdr:row>
      <xdr:rowOff>123825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352425</xdr:colOff>
      <xdr:row>0</xdr:row>
      <xdr:rowOff>171450</xdr:rowOff>
    </xdr:from>
    <xdr:to>
      <xdr:col>14</xdr:col>
      <xdr:colOff>123825</xdr:colOff>
      <xdr:row>15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361950</xdr:colOff>
      <xdr:row>17</xdr:row>
      <xdr:rowOff>76200</xdr:rowOff>
    </xdr:from>
    <xdr:to>
      <xdr:col>14</xdr:col>
      <xdr:colOff>133350</xdr:colOff>
      <xdr:row>31</xdr:row>
      <xdr:rowOff>152400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314325</xdr:colOff>
      <xdr:row>33</xdr:row>
      <xdr:rowOff>76200</xdr:rowOff>
    </xdr:from>
    <xdr:to>
      <xdr:col>14</xdr:col>
      <xdr:colOff>85725</xdr:colOff>
      <xdr:row>47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333375</xdr:colOff>
      <xdr:row>49</xdr:row>
      <xdr:rowOff>9525</xdr:rowOff>
    </xdr:from>
    <xdr:to>
      <xdr:col>14</xdr:col>
      <xdr:colOff>104775</xdr:colOff>
      <xdr:row>63</xdr:row>
      <xdr:rowOff>85725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447675</xdr:colOff>
      <xdr:row>65</xdr:row>
      <xdr:rowOff>171450</xdr:rowOff>
    </xdr:from>
    <xdr:to>
      <xdr:col>14</xdr:col>
      <xdr:colOff>219075</xdr:colOff>
      <xdr:row>80</xdr:row>
      <xdr:rowOff>57150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82</xdr:row>
      <xdr:rowOff>0</xdr:rowOff>
    </xdr:from>
    <xdr:to>
      <xdr:col>14</xdr:col>
      <xdr:colOff>266700</xdr:colOff>
      <xdr:row>96</xdr:row>
      <xdr:rowOff>76200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0</xdr:row>
      <xdr:rowOff>171450</xdr:rowOff>
    </xdr:from>
    <xdr:to>
      <xdr:col>15</xdr:col>
      <xdr:colOff>561975</xdr:colOff>
      <xdr:row>15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257175</xdr:colOff>
      <xdr:row>16</xdr:row>
      <xdr:rowOff>85725</xdr:rowOff>
    </xdr:from>
    <xdr:to>
      <xdr:col>15</xdr:col>
      <xdr:colOff>561975</xdr:colOff>
      <xdr:row>30</xdr:row>
      <xdr:rowOff>161925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295275</xdr:colOff>
      <xdr:row>31</xdr:row>
      <xdr:rowOff>180975</xdr:rowOff>
    </xdr:from>
    <xdr:to>
      <xdr:col>15</xdr:col>
      <xdr:colOff>600075</xdr:colOff>
      <xdr:row>46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304800</xdr:colOff>
      <xdr:row>47</xdr:row>
      <xdr:rowOff>76200</xdr:rowOff>
    </xdr:from>
    <xdr:to>
      <xdr:col>16</xdr:col>
      <xdr:colOff>0</xdr:colOff>
      <xdr:row>61</xdr:row>
      <xdr:rowOff>152400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266700</xdr:colOff>
      <xdr:row>63</xdr:row>
      <xdr:rowOff>66675</xdr:rowOff>
    </xdr:from>
    <xdr:to>
      <xdr:col>15</xdr:col>
      <xdr:colOff>571500</xdr:colOff>
      <xdr:row>77</xdr:row>
      <xdr:rowOff>142875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295275</xdr:colOff>
      <xdr:row>78</xdr:row>
      <xdr:rowOff>171450</xdr:rowOff>
    </xdr:from>
    <xdr:to>
      <xdr:col>15</xdr:col>
      <xdr:colOff>600075</xdr:colOff>
      <xdr:row>93</xdr:row>
      <xdr:rowOff>57150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3"/>
  <sheetViews>
    <sheetView topLeftCell="Y1" workbookViewId="0">
      <selection activeCell="AM3" sqref="AM3:AM10"/>
    </sheetView>
  </sheetViews>
  <sheetFormatPr defaultRowHeight="15" x14ac:dyDescent="0.25"/>
  <cols>
    <col min="3" max="3" width="19.140625" bestFit="1" customWidth="1"/>
    <col min="4" max="4" width="13.7109375" bestFit="1" customWidth="1"/>
    <col min="5" max="5" width="17.7109375" bestFit="1" customWidth="1"/>
    <col min="6" max="6" width="10.42578125" bestFit="1" customWidth="1"/>
    <col min="18" max="18" width="18" bestFit="1" customWidth="1"/>
    <col min="19" max="19" width="20" bestFit="1" customWidth="1"/>
    <col min="23" max="23" width="6.28515625" bestFit="1" customWidth="1"/>
    <col min="24" max="24" width="19.140625" bestFit="1" customWidth="1"/>
    <col min="25" max="25" width="13.7109375" bestFit="1" customWidth="1"/>
    <col min="26" max="26" width="17.7109375" bestFit="1" customWidth="1"/>
    <col min="27" max="27" width="12" bestFit="1" customWidth="1"/>
    <col min="28" max="28" width="7" bestFit="1" customWidth="1"/>
    <col min="38" max="38" width="18" bestFit="1" customWidth="1"/>
    <col min="39" max="39" width="20" bestFit="1" customWidth="1"/>
  </cols>
  <sheetData>
    <row r="1" spans="1:39" x14ac:dyDescent="0.25">
      <c r="A1" t="s">
        <v>5</v>
      </c>
    </row>
    <row r="2" spans="1:39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R2" t="s">
        <v>14</v>
      </c>
      <c r="S2" t="s">
        <v>15</v>
      </c>
      <c r="V2" t="s">
        <v>60</v>
      </c>
      <c r="AL2" t="s">
        <v>14</v>
      </c>
      <c r="AM2" t="s">
        <v>15</v>
      </c>
    </row>
    <row r="3" spans="1:39" x14ac:dyDescent="0.25">
      <c r="B3">
        <v>24</v>
      </c>
      <c r="C3">
        <f>B3*3.99</f>
        <v>95.76</v>
      </c>
      <c r="D3">
        <v>51</v>
      </c>
      <c r="E3">
        <f t="shared" ref="E3:E12" si="0">D3*2.98</f>
        <v>151.97999999999999</v>
      </c>
      <c r="F3">
        <f>E3^(-1/0.88)</f>
        <v>3.3166315450883603E-3</v>
      </c>
      <c r="G3">
        <v>95.76</v>
      </c>
      <c r="R3" t="s">
        <v>16</v>
      </c>
      <c r="S3">
        <v>89.230999999999995</v>
      </c>
      <c r="AL3" t="s">
        <v>16</v>
      </c>
      <c r="AM3">
        <v>43.476999999999997</v>
      </c>
    </row>
    <row r="4" spans="1:39" x14ac:dyDescent="0.25">
      <c r="B4">
        <v>26</v>
      </c>
      <c r="C4">
        <f t="shared" ref="C4:C14" si="1">B4*3.99</f>
        <v>103.74000000000001</v>
      </c>
      <c r="D4">
        <v>49</v>
      </c>
      <c r="E4">
        <f t="shared" si="0"/>
        <v>146.02000000000001</v>
      </c>
      <c r="F4">
        <f>E4^(-1/0.88)</f>
        <v>3.4708873458777541E-3</v>
      </c>
      <c r="G4">
        <v>103.74000000000001</v>
      </c>
      <c r="R4" t="s">
        <v>17</v>
      </c>
      <c r="S4">
        <v>90.094999999999999</v>
      </c>
      <c r="V4" t="s">
        <v>5</v>
      </c>
      <c r="AL4" t="s">
        <v>17</v>
      </c>
      <c r="AM4">
        <v>33.317999999999998</v>
      </c>
    </row>
    <row r="5" spans="1:39" x14ac:dyDescent="0.25">
      <c r="B5">
        <v>28</v>
      </c>
      <c r="C5">
        <f t="shared" si="1"/>
        <v>111.72</v>
      </c>
      <c r="D5">
        <v>43</v>
      </c>
      <c r="E5">
        <f t="shared" si="0"/>
        <v>128.13999999999999</v>
      </c>
      <c r="F5">
        <f>E5^(-1/0.88)</f>
        <v>4.026277718217495E-3</v>
      </c>
      <c r="G5">
        <v>111.72</v>
      </c>
      <c r="R5" t="s">
        <v>18</v>
      </c>
      <c r="W5" t="s">
        <v>0</v>
      </c>
      <c r="X5" t="s">
        <v>4</v>
      </c>
      <c r="Y5" t="s">
        <v>1</v>
      </c>
      <c r="Z5" t="s">
        <v>2</v>
      </c>
      <c r="AA5" t="s">
        <v>3</v>
      </c>
      <c r="AL5" t="s">
        <v>18</v>
      </c>
      <c r="AM5">
        <v>86.200999999999993</v>
      </c>
    </row>
    <row r="6" spans="1:39" x14ac:dyDescent="0.25">
      <c r="B6">
        <v>30</v>
      </c>
      <c r="C6">
        <f t="shared" si="1"/>
        <v>119.7</v>
      </c>
      <c r="D6">
        <v>28</v>
      </c>
      <c r="E6">
        <f t="shared" si="0"/>
        <v>83.44</v>
      </c>
      <c r="F6">
        <f t="shared" ref="F6:F12" si="2">E6^(-1/0.88)</f>
        <v>6.5557158127675817E-3</v>
      </c>
      <c r="G6">
        <v>119.7</v>
      </c>
      <c r="R6" t="s">
        <v>19</v>
      </c>
      <c r="S6" t="s">
        <v>24</v>
      </c>
      <c r="W6">
        <v>24</v>
      </c>
      <c r="X6">
        <f>W6*3.99</f>
        <v>95.76</v>
      </c>
      <c r="Y6">
        <v>17</v>
      </c>
      <c r="Z6">
        <f t="shared" ref="Z6:Z15" si="3">Y6*2.98</f>
        <v>50.66</v>
      </c>
      <c r="AA6">
        <f>Z6^(-1/0.88)</f>
        <v>1.1557940943796448E-2</v>
      </c>
      <c r="AB6">
        <v>95.76</v>
      </c>
      <c r="AL6" t="s">
        <v>19</v>
      </c>
    </row>
    <row r="7" spans="1:39" x14ac:dyDescent="0.25">
      <c r="B7">
        <v>32</v>
      </c>
      <c r="C7">
        <f t="shared" si="1"/>
        <v>127.68</v>
      </c>
      <c r="D7">
        <v>17</v>
      </c>
      <c r="E7">
        <f t="shared" si="0"/>
        <v>50.66</v>
      </c>
      <c r="F7">
        <f t="shared" si="2"/>
        <v>1.1557940943796448E-2</v>
      </c>
      <c r="G7">
        <v>127.68</v>
      </c>
      <c r="R7" t="s">
        <v>20</v>
      </c>
      <c r="W7">
        <v>26</v>
      </c>
      <c r="X7">
        <f t="shared" ref="X7:X15" si="4">W7*3.99</f>
        <v>103.74000000000001</v>
      </c>
      <c r="Y7">
        <v>15</v>
      </c>
      <c r="Z7">
        <f t="shared" si="3"/>
        <v>44.7</v>
      </c>
      <c r="AA7">
        <f>Z7^(-1/0.88)</f>
        <v>1.3324488363727047E-2</v>
      </c>
      <c r="AB7">
        <v>103.74000000000001</v>
      </c>
      <c r="AL7" t="s">
        <v>20</v>
      </c>
      <c r="AM7">
        <v>100.46</v>
      </c>
    </row>
    <row r="8" spans="1:39" x14ac:dyDescent="0.25">
      <c r="B8">
        <v>34</v>
      </c>
      <c r="C8">
        <f t="shared" si="1"/>
        <v>135.66</v>
      </c>
      <c r="D8">
        <v>16</v>
      </c>
      <c r="E8">
        <f t="shared" si="0"/>
        <v>47.68</v>
      </c>
      <c r="F8">
        <f t="shared" si="2"/>
        <v>1.2382254315690646E-2</v>
      </c>
      <c r="G8">
        <v>135.66</v>
      </c>
      <c r="R8" t="s">
        <v>21</v>
      </c>
      <c r="W8">
        <v>28</v>
      </c>
      <c r="X8">
        <f t="shared" si="4"/>
        <v>111.72</v>
      </c>
      <c r="Y8">
        <v>15</v>
      </c>
      <c r="Z8">
        <f t="shared" si="3"/>
        <v>44.7</v>
      </c>
      <c r="AA8">
        <f>Z8^(-1/0.88)</f>
        <v>1.3324488363727047E-2</v>
      </c>
      <c r="AB8">
        <v>111.72</v>
      </c>
      <c r="AL8" t="s">
        <v>21</v>
      </c>
      <c r="AM8">
        <v>81.64</v>
      </c>
    </row>
    <row r="9" spans="1:39" x14ac:dyDescent="0.25">
      <c r="B9">
        <v>36</v>
      </c>
      <c r="C9">
        <f t="shared" si="1"/>
        <v>143.64000000000001</v>
      </c>
      <c r="D9">
        <v>15</v>
      </c>
      <c r="E9">
        <f t="shared" si="0"/>
        <v>44.7</v>
      </c>
      <c r="F9">
        <f t="shared" si="2"/>
        <v>1.3324488363727047E-2</v>
      </c>
      <c r="G9">
        <v>143.64000000000001</v>
      </c>
      <c r="R9" t="s">
        <v>61</v>
      </c>
      <c r="S9">
        <v>43.476999999999997</v>
      </c>
      <c r="W9">
        <v>30</v>
      </c>
      <c r="X9">
        <f t="shared" si="4"/>
        <v>119.7</v>
      </c>
      <c r="Y9">
        <v>15</v>
      </c>
      <c r="Z9">
        <f t="shared" si="3"/>
        <v>44.7</v>
      </c>
      <c r="AA9">
        <f t="shared" ref="AA9:AA15" si="5">Z9^(-1/0.88)</f>
        <v>1.3324488363727047E-2</v>
      </c>
      <c r="AB9">
        <v>119.7</v>
      </c>
      <c r="AL9" t="s">
        <v>22</v>
      </c>
      <c r="AM9">
        <f>AVERAGE(AM3:AM8)</f>
        <v>69.019199999999984</v>
      </c>
    </row>
    <row r="10" spans="1:39" x14ac:dyDescent="0.25">
      <c r="B10">
        <v>38</v>
      </c>
      <c r="C10">
        <f t="shared" si="1"/>
        <v>151.62</v>
      </c>
      <c r="D10">
        <v>15</v>
      </c>
      <c r="E10">
        <f t="shared" si="0"/>
        <v>44.7</v>
      </c>
      <c r="F10">
        <f t="shared" si="2"/>
        <v>1.3324488363727047E-2</v>
      </c>
      <c r="G10">
        <v>151.62</v>
      </c>
      <c r="R10" t="s">
        <v>62</v>
      </c>
      <c r="S10">
        <v>33.32</v>
      </c>
      <c r="W10">
        <v>32</v>
      </c>
      <c r="X10">
        <f t="shared" si="4"/>
        <v>127.68</v>
      </c>
      <c r="Y10">
        <v>13</v>
      </c>
      <c r="Z10">
        <f t="shared" si="3"/>
        <v>38.74</v>
      </c>
      <c r="AA10">
        <f t="shared" si="5"/>
        <v>1.5677368375515564E-2</v>
      </c>
      <c r="AB10">
        <v>127.68</v>
      </c>
      <c r="AL10" t="s">
        <v>23</v>
      </c>
      <c r="AM10">
        <f>STDEV(AM3:AM8)</f>
        <v>29.025860929522846</v>
      </c>
    </row>
    <row r="11" spans="1:39" x14ac:dyDescent="0.25">
      <c r="B11">
        <v>40</v>
      </c>
      <c r="C11">
        <f t="shared" si="1"/>
        <v>159.60000000000002</v>
      </c>
      <c r="D11">
        <v>13</v>
      </c>
      <c r="E11">
        <f t="shared" si="0"/>
        <v>38.74</v>
      </c>
      <c r="F11">
        <f t="shared" si="2"/>
        <v>1.5677368375515564E-2</v>
      </c>
      <c r="G11">
        <v>159.60000000000002</v>
      </c>
      <c r="R11" t="s">
        <v>22</v>
      </c>
      <c r="S11">
        <f>AVERAGE(S3:S10)</f>
        <v>64.030749999999998</v>
      </c>
      <c r="W11">
        <v>34</v>
      </c>
      <c r="X11">
        <f t="shared" si="4"/>
        <v>135.66</v>
      </c>
      <c r="Y11">
        <v>12</v>
      </c>
      <c r="Z11">
        <f t="shared" si="3"/>
        <v>35.76</v>
      </c>
      <c r="AA11">
        <f t="shared" si="5"/>
        <v>1.7170208017345791E-2</v>
      </c>
      <c r="AB11">
        <v>135.66</v>
      </c>
    </row>
    <row r="12" spans="1:39" x14ac:dyDescent="0.25">
      <c r="B12">
        <v>50</v>
      </c>
      <c r="C12">
        <f t="shared" si="1"/>
        <v>199.5</v>
      </c>
      <c r="D12">
        <v>8</v>
      </c>
      <c r="E12">
        <f t="shared" si="0"/>
        <v>23.84</v>
      </c>
      <c r="F12">
        <f t="shared" si="2"/>
        <v>2.7219444648087589E-2</v>
      </c>
      <c r="G12">
        <v>199.5</v>
      </c>
      <c r="R12" t="s">
        <v>23</v>
      </c>
      <c r="S12">
        <f>STDEV(S3:S10)</f>
        <v>29.888707637668094</v>
      </c>
      <c r="W12">
        <v>36</v>
      </c>
      <c r="X12">
        <f t="shared" si="4"/>
        <v>143.64000000000001</v>
      </c>
      <c r="Y12">
        <v>11</v>
      </c>
      <c r="Z12">
        <f t="shared" si="3"/>
        <v>32.78</v>
      </c>
      <c r="AA12">
        <f t="shared" si="5"/>
        <v>1.8954708205023315E-2</v>
      </c>
      <c r="AB12">
        <v>143.64000000000001</v>
      </c>
    </row>
    <row r="13" spans="1:39" x14ac:dyDescent="0.25">
      <c r="B13">
        <v>60</v>
      </c>
      <c r="C13">
        <f t="shared" si="1"/>
        <v>239.4</v>
      </c>
      <c r="F13" t="e">
        <f>E13^(-1/0.88)</f>
        <v>#DIV/0!</v>
      </c>
      <c r="W13">
        <v>38</v>
      </c>
      <c r="X13">
        <f t="shared" si="4"/>
        <v>151.62</v>
      </c>
      <c r="Y13">
        <v>10</v>
      </c>
      <c r="Z13">
        <f t="shared" si="3"/>
        <v>29.8</v>
      </c>
      <c r="AA13">
        <f t="shared" si="5"/>
        <v>2.1122934160970067E-2</v>
      </c>
      <c r="AB13">
        <v>151.62</v>
      </c>
    </row>
    <row r="14" spans="1:39" x14ac:dyDescent="0.25">
      <c r="B14">
        <v>80</v>
      </c>
      <c r="C14">
        <f t="shared" si="1"/>
        <v>319.20000000000005</v>
      </c>
      <c r="F14" t="e">
        <f>E14^(-1/0.88)</f>
        <v>#DIV/0!</v>
      </c>
      <c r="W14">
        <v>40</v>
      </c>
      <c r="X14">
        <f t="shared" si="4"/>
        <v>159.60000000000002</v>
      </c>
      <c r="Y14">
        <v>9</v>
      </c>
      <c r="Z14">
        <f t="shared" si="3"/>
        <v>26.82</v>
      </c>
      <c r="AA14">
        <f t="shared" si="5"/>
        <v>2.380956131593407E-2</v>
      </c>
      <c r="AB14">
        <v>159.60000000000002</v>
      </c>
    </row>
    <row r="15" spans="1:39" x14ac:dyDescent="0.25">
      <c r="W15">
        <v>50</v>
      </c>
      <c r="X15">
        <f t="shared" si="4"/>
        <v>199.5</v>
      </c>
      <c r="Z15">
        <f t="shared" si="3"/>
        <v>0</v>
      </c>
      <c r="AA15" t="e">
        <f t="shared" si="5"/>
        <v>#DIV/0!</v>
      </c>
      <c r="AB15">
        <v>199.5</v>
      </c>
    </row>
    <row r="17" spans="1:28" x14ac:dyDescent="0.25">
      <c r="A17" t="s">
        <v>6</v>
      </c>
    </row>
    <row r="18" spans="1:28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28" x14ac:dyDescent="0.25">
      <c r="B19">
        <v>24</v>
      </c>
      <c r="C19">
        <f>B19*3.99</f>
        <v>95.76</v>
      </c>
      <c r="D19">
        <v>334</v>
      </c>
      <c r="E19">
        <f t="shared" ref="E19:E30" si="6">D19*2.98</f>
        <v>995.32</v>
      </c>
      <c r="F19">
        <f>E19^(-1/0.88)</f>
        <v>3.91944134403456E-4</v>
      </c>
      <c r="G19">
        <v>95.76</v>
      </c>
    </row>
    <row r="20" spans="1:28" x14ac:dyDescent="0.25">
      <c r="B20">
        <v>26</v>
      </c>
      <c r="C20">
        <f t="shared" ref="C20:C30" si="7">B20*3.99</f>
        <v>103.74000000000001</v>
      </c>
      <c r="D20">
        <v>314</v>
      </c>
      <c r="E20">
        <f t="shared" si="6"/>
        <v>935.72</v>
      </c>
      <c r="F20">
        <f>E20^(-1/0.88)</f>
        <v>4.204339975272527E-4</v>
      </c>
      <c r="G20">
        <v>103.74000000000001</v>
      </c>
      <c r="V20" t="s">
        <v>11</v>
      </c>
    </row>
    <row r="21" spans="1:28" x14ac:dyDescent="0.25">
      <c r="B21">
        <v>28</v>
      </c>
      <c r="C21">
        <f t="shared" si="7"/>
        <v>111.72</v>
      </c>
      <c r="D21">
        <v>296</v>
      </c>
      <c r="E21">
        <f t="shared" si="6"/>
        <v>882.08</v>
      </c>
      <c r="F21">
        <f>E21^(-1/0.88)</f>
        <v>4.4960573929162336E-4</v>
      </c>
      <c r="G21">
        <v>111.72</v>
      </c>
      <c r="W21" t="s">
        <v>0</v>
      </c>
      <c r="X21" t="s">
        <v>4</v>
      </c>
      <c r="Y21" t="s">
        <v>1</v>
      </c>
      <c r="Z21" t="s">
        <v>2</v>
      </c>
      <c r="AA21" t="s">
        <v>3</v>
      </c>
    </row>
    <row r="22" spans="1:28" x14ac:dyDescent="0.25">
      <c r="B22">
        <v>30</v>
      </c>
      <c r="C22">
        <f t="shared" si="7"/>
        <v>119.7</v>
      </c>
      <c r="D22">
        <v>294</v>
      </c>
      <c r="E22">
        <f t="shared" si="6"/>
        <v>876.12</v>
      </c>
      <c r="F22">
        <f t="shared" ref="F22:F28" si="8">E22^(-1/0.88)</f>
        <v>4.5308296462538559E-4</v>
      </c>
      <c r="G22">
        <v>119.7</v>
      </c>
      <c r="W22">
        <v>24</v>
      </c>
      <c r="X22">
        <f>W22*3.99</f>
        <v>95.76</v>
      </c>
      <c r="Y22">
        <v>47</v>
      </c>
      <c r="Z22">
        <f t="shared" ref="Z22:Z31" si="9">Y22*2.98</f>
        <v>140.06</v>
      </c>
      <c r="AA22">
        <f>Z22^(-1/0.88)</f>
        <v>3.6392063325281759E-3</v>
      </c>
      <c r="AB22">
        <v>95.76</v>
      </c>
    </row>
    <row r="23" spans="1:28" x14ac:dyDescent="0.25">
      <c r="B23">
        <v>32</v>
      </c>
      <c r="C23">
        <f t="shared" si="7"/>
        <v>127.68</v>
      </c>
      <c r="D23">
        <v>292</v>
      </c>
      <c r="E23">
        <f t="shared" si="6"/>
        <v>870.16</v>
      </c>
      <c r="F23">
        <f t="shared" si="8"/>
        <v>4.5661109459056384E-4</v>
      </c>
      <c r="G23">
        <v>127.68</v>
      </c>
      <c r="W23">
        <v>26</v>
      </c>
      <c r="X23">
        <f t="shared" ref="X23:X31" si="10">W23*3.99</f>
        <v>103.74000000000001</v>
      </c>
      <c r="Y23">
        <v>27</v>
      </c>
      <c r="Z23">
        <f t="shared" si="9"/>
        <v>80.459999999999994</v>
      </c>
      <c r="AA23">
        <f>Z23^(-1/0.88)</f>
        <v>6.8323192270269553E-3</v>
      </c>
      <c r="AB23">
        <v>103.74000000000001</v>
      </c>
    </row>
    <row r="24" spans="1:28" x14ac:dyDescent="0.25">
      <c r="B24">
        <v>34</v>
      </c>
      <c r="C24">
        <f t="shared" si="7"/>
        <v>135.66</v>
      </c>
      <c r="D24">
        <v>226</v>
      </c>
      <c r="E24">
        <f t="shared" si="6"/>
        <v>673.48</v>
      </c>
      <c r="F24">
        <f t="shared" si="8"/>
        <v>6.1093450649608188E-4</v>
      </c>
      <c r="G24">
        <v>135.66</v>
      </c>
      <c r="W24">
        <v>28</v>
      </c>
      <c r="X24">
        <f t="shared" si="10"/>
        <v>111.72</v>
      </c>
      <c r="Y24">
        <v>27</v>
      </c>
      <c r="Z24">
        <f t="shared" si="9"/>
        <v>80.459999999999994</v>
      </c>
      <c r="AA24">
        <f>Z24^(-1/0.88)</f>
        <v>6.8323192270269553E-3</v>
      </c>
      <c r="AB24">
        <v>111.72</v>
      </c>
    </row>
    <row r="25" spans="1:28" x14ac:dyDescent="0.25">
      <c r="B25">
        <v>36</v>
      </c>
      <c r="C25">
        <f t="shared" si="7"/>
        <v>143.64000000000001</v>
      </c>
      <c r="D25">
        <v>224</v>
      </c>
      <c r="E25">
        <f t="shared" si="6"/>
        <v>667.52</v>
      </c>
      <c r="F25">
        <f t="shared" si="8"/>
        <v>6.1713687531504897E-4</v>
      </c>
      <c r="G25">
        <v>143.64000000000001</v>
      </c>
      <c r="W25">
        <v>30</v>
      </c>
      <c r="X25">
        <f t="shared" si="10"/>
        <v>119.7</v>
      </c>
      <c r="Y25">
        <v>26</v>
      </c>
      <c r="Z25">
        <f t="shared" si="9"/>
        <v>77.48</v>
      </c>
      <c r="AA25">
        <f t="shared" ref="AA25:AA31" si="11">Z25^(-1/0.88)</f>
        <v>7.1317091416131561E-3</v>
      </c>
      <c r="AB25">
        <v>119.7</v>
      </c>
    </row>
    <row r="26" spans="1:28" x14ac:dyDescent="0.25">
      <c r="B26">
        <v>38</v>
      </c>
      <c r="C26">
        <f t="shared" si="7"/>
        <v>151.62</v>
      </c>
      <c r="D26">
        <v>72</v>
      </c>
      <c r="E26">
        <f t="shared" si="6"/>
        <v>214.56</v>
      </c>
      <c r="F26">
        <f t="shared" si="8"/>
        <v>2.2413659610626821E-3</v>
      </c>
      <c r="G26">
        <v>151.62</v>
      </c>
      <c r="W26">
        <v>32</v>
      </c>
      <c r="X26">
        <f t="shared" si="10"/>
        <v>127.68</v>
      </c>
      <c r="Y26">
        <v>24</v>
      </c>
      <c r="Z26">
        <f t="shared" si="9"/>
        <v>71.52</v>
      </c>
      <c r="AA26">
        <f t="shared" si="11"/>
        <v>7.8108089666342031E-3</v>
      </c>
      <c r="AB26">
        <v>127.68</v>
      </c>
    </row>
    <row r="27" spans="1:28" x14ac:dyDescent="0.25">
      <c r="B27">
        <v>40</v>
      </c>
      <c r="C27">
        <f t="shared" si="7"/>
        <v>159.60000000000002</v>
      </c>
      <c r="D27">
        <v>70</v>
      </c>
      <c r="E27">
        <f t="shared" si="6"/>
        <v>208.6</v>
      </c>
      <c r="F27">
        <f t="shared" si="8"/>
        <v>2.3142781953323513E-3</v>
      </c>
      <c r="G27">
        <v>159.60000000000002</v>
      </c>
      <c r="W27">
        <v>34</v>
      </c>
      <c r="X27">
        <f t="shared" si="10"/>
        <v>135.66</v>
      </c>
      <c r="Y27">
        <v>23</v>
      </c>
      <c r="Z27">
        <f t="shared" si="9"/>
        <v>68.540000000000006</v>
      </c>
      <c r="AA27">
        <f t="shared" si="11"/>
        <v>8.1978484653347193E-3</v>
      </c>
      <c r="AB27">
        <v>135.66</v>
      </c>
    </row>
    <row r="28" spans="1:28" x14ac:dyDescent="0.25">
      <c r="B28">
        <v>50</v>
      </c>
      <c r="C28">
        <f t="shared" si="7"/>
        <v>199.5</v>
      </c>
      <c r="D28">
        <v>66</v>
      </c>
      <c r="E28">
        <f t="shared" si="6"/>
        <v>196.68</v>
      </c>
      <c r="F28">
        <f t="shared" si="8"/>
        <v>2.4743111865445011E-3</v>
      </c>
      <c r="G28">
        <v>199.5</v>
      </c>
      <c r="W28">
        <v>36</v>
      </c>
      <c r="X28">
        <f t="shared" si="10"/>
        <v>143.64000000000001</v>
      </c>
      <c r="Y28">
        <v>20</v>
      </c>
      <c r="Z28">
        <f t="shared" si="9"/>
        <v>59.6</v>
      </c>
      <c r="AA28">
        <f t="shared" si="11"/>
        <v>9.6089228144152165E-3</v>
      </c>
      <c r="AB28">
        <v>143.64000000000001</v>
      </c>
    </row>
    <row r="29" spans="1:28" x14ac:dyDescent="0.25">
      <c r="B29">
        <v>60</v>
      </c>
      <c r="C29">
        <f t="shared" si="7"/>
        <v>239.4</v>
      </c>
      <c r="D29">
        <v>65</v>
      </c>
      <c r="E29">
        <f t="shared" si="6"/>
        <v>193.7</v>
      </c>
      <c r="F29">
        <f>E29^(-1/0.88)</f>
        <v>2.5176135502615734E-3</v>
      </c>
      <c r="G29">
        <v>239.4</v>
      </c>
      <c r="W29">
        <v>38</v>
      </c>
      <c r="X29">
        <f t="shared" si="10"/>
        <v>151.62</v>
      </c>
      <c r="Y29">
        <v>20</v>
      </c>
      <c r="Z29">
        <f t="shared" si="9"/>
        <v>59.6</v>
      </c>
      <c r="AA29">
        <f t="shared" si="11"/>
        <v>9.6089228144152165E-3</v>
      </c>
      <c r="AB29">
        <v>151.62</v>
      </c>
    </row>
    <row r="30" spans="1:28" x14ac:dyDescent="0.25">
      <c r="B30">
        <v>80</v>
      </c>
      <c r="C30">
        <f t="shared" si="7"/>
        <v>319.20000000000005</v>
      </c>
      <c r="D30">
        <v>58</v>
      </c>
      <c r="E30">
        <f t="shared" si="6"/>
        <v>172.84</v>
      </c>
      <c r="F30">
        <f>E30^(-1/0.88)</f>
        <v>2.8656453041757948E-3</v>
      </c>
      <c r="G30">
        <v>319.20000000000005</v>
      </c>
      <c r="W30">
        <v>40</v>
      </c>
      <c r="X30">
        <f t="shared" si="10"/>
        <v>159.60000000000002</v>
      </c>
      <c r="Y30">
        <v>20</v>
      </c>
      <c r="Z30">
        <f t="shared" si="9"/>
        <v>59.6</v>
      </c>
      <c r="AA30">
        <f t="shared" si="11"/>
        <v>9.6089228144152165E-3</v>
      </c>
      <c r="AB30">
        <v>159.60000000000002</v>
      </c>
    </row>
    <row r="31" spans="1:28" x14ac:dyDescent="0.25">
      <c r="W31">
        <v>50</v>
      </c>
      <c r="X31">
        <f t="shared" si="10"/>
        <v>199.5</v>
      </c>
      <c r="Y31">
        <v>16</v>
      </c>
      <c r="Z31">
        <f t="shared" si="9"/>
        <v>47.68</v>
      </c>
      <c r="AA31">
        <f t="shared" si="11"/>
        <v>1.2382254315690646E-2</v>
      </c>
      <c r="AB31">
        <v>199.5</v>
      </c>
    </row>
    <row r="32" spans="1:28" x14ac:dyDescent="0.25">
      <c r="A32" t="s">
        <v>7</v>
      </c>
    </row>
    <row r="33" spans="1:28" x14ac:dyDescent="0.25">
      <c r="B33" t="s">
        <v>0</v>
      </c>
      <c r="C33" t="s">
        <v>4</v>
      </c>
      <c r="D33" t="s">
        <v>1</v>
      </c>
      <c r="E33" t="s">
        <v>2</v>
      </c>
      <c r="F33" t="s">
        <v>3</v>
      </c>
    </row>
    <row r="34" spans="1:28" x14ac:dyDescent="0.25">
      <c r="B34">
        <v>24</v>
      </c>
      <c r="C34">
        <f>B34*3.99</f>
        <v>95.76</v>
      </c>
      <c r="D34">
        <v>223</v>
      </c>
      <c r="E34">
        <f t="shared" ref="E34:E45" si="12">D34*2.98</f>
        <v>664.54</v>
      </c>
      <c r="F34">
        <f>E34^(-1/0.88)</f>
        <v>6.2028264233829952E-4</v>
      </c>
      <c r="G34">
        <v>95.76</v>
      </c>
    </row>
    <row r="35" spans="1:28" x14ac:dyDescent="0.25">
      <c r="B35">
        <v>26</v>
      </c>
      <c r="C35">
        <f t="shared" ref="C35:C45" si="13">B35*3.99</f>
        <v>103.74000000000001</v>
      </c>
      <c r="D35">
        <v>221</v>
      </c>
      <c r="E35">
        <f t="shared" si="12"/>
        <v>658.58</v>
      </c>
      <c r="F35">
        <f>E35^(-1/0.88)</f>
        <v>6.2666545170097794E-4</v>
      </c>
      <c r="G35">
        <v>103.74000000000001</v>
      </c>
      <c r="V35" t="s">
        <v>12</v>
      </c>
    </row>
    <row r="36" spans="1:28" x14ac:dyDescent="0.25">
      <c r="B36">
        <v>28</v>
      </c>
      <c r="C36">
        <f t="shared" si="13"/>
        <v>111.72</v>
      </c>
      <c r="D36">
        <v>197</v>
      </c>
      <c r="E36">
        <f t="shared" si="12"/>
        <v>587.05999999999995</v>
      </c>
      <c r="F36">
        <f>E36^(-1/0.88)</f>
        <v>7.1411786426655091E-4</v>
      </c>
      <c r="G36">
        <v>111.72</v>
      </c>
      <c r="W36" t="s">
        <v>0</v>
      </c>
      <c r="X36" t="s">
        <v>4</v>
      </c>
      <c r="Y36" t="s">
        <v>1</v>
      </c>
      <c r="Z36" t="s">
        <v>2</v>
      </c>
      <c r="AA36" t="s">
        <v>3</v>
      </c>
    </row>
    <row r="37" spans="1:28" x14ac:dyDescent="0.25">
      <c r="B37">
        <v>30</v>
      </c>
      <c r="C37">
        <f t="shared" si="13"/>
        <v>119.7</v>
      </c>
      <c r="D37">
        <v>196</v>
      </c>
      <c r="E37">
        <f t="shared" si="12"/>
        <v>584.08000000000004</v>
      </c>
      <c r="F37">
        <f t="shared" ref="F37:F43" si="14">E37^(-1/0.88)</f>
        <v>7.1825959616524939E-4</v>
      </c>
      <c r="G37">
        <v>119.7</v>
      </c>
      <c r="W37">
        <v>24</v>
      </c>
      <c r="X37">
        <f>W37*3.99</f>
        <v>95.76</v>
      </c>
      <c r="Y37">
        <v>15</v>
      </c>
      <c r="Z37">
        <f t="shared" ref="Z37:Z46" si="15">Y37*2.98</f>
        <v>44.7</v>
      </c>
      <c r="AA37">
        <f>Z37^(-1/0.88)</f>
        <v>1.3324488363727047E-2</v>
      </c>
      <c r="AB37">
        <v>95.76</v>
      </c>
    </row>
    <row r="38" spans="1:28" x14ac:dyDescent="0.25">
      <c r="B38">
        <v>32</v>
      </c>
      <c r="C38">
        <f t="shared" si="13"/>
        <v>127.68</v>
      </c>
      <c r="D38">
        <v>194</v>
      </c>
      <c r="E38">
        <f t="shared" si="12"/>
        <v>578.12</v>
      </c>
      <c r="F38">
        <f t="shared" si="14"/>
        <v>7.2667996839424352E-4</v>
      </c>
      <c r="G38">
        <v>127.68</v>
      </c>
      <c r="W38">
        <v>26</v>
      </c>
      <c r="X38">
        <f t="shared" ref="X38:X46" si="16">W38*3.99</f>
        <v>103.74000000000001</v>
      </c>
      <c r="Y38">
        <v>15</v>
      </c>
      <c r="Z38">
        <f t="shared" si="15"/>
        <v>44.7</v>
      </c>
      <c r="AA38">
        <f>Z38^(-1/0.88)</f>
        <v>1.3324488363727047E-2</v>
      </c>
      <c r="AB38">
        <v>103.74000000000001</v>
      </c>
    </row>
    <row r="39" spans="1:28" x14ac:dyDescent="0.25">
      <c r="B39">
        <v>34</v>
      </c>
      <c r="C39">
        <f t="shared" si="13"/>
        <v>135.66</v>
      </c>
      <c r="D39">
        <v>183</v>
      </c>
      <c r="E39">
        <f t="shared" si="12"/>
        <v>545.34</v>
      </c>
      <c r="F39">
        <f t="shared" si="14"/>
        <v>7.7651658213313368E-4</v>
      </c>
      <c r="G39">
        <v>135.66</v>
      </c>
      <c r="W39">
        <v>28</v>
      </c>
      <c r="X39">
        <f t="shared" si="16"/>
        <v>111.72</v>
      </c>
      <c r="Y39">
        <v>14</v>
      </c>
      <c r="Z39">
        <f t="shared" si="15"/>
        <v>41.72</v>
      </c>
      <c r="AA39">
        <f>Z39^(-1/0.88)</f>
        <v>1.4411183872075611E-2</v>
      </c>
      <c r="AB39">
        <v>111.72</v>
      </c>
    </row>
    <row r="40" spans="1:28" x14ac:dyDescent="0.25">
      <c r="B40">
        <v>36</v>
      </c>
      <c r="C40">
        <f t="shared" si="13"/>
        <v>143.64000000000001</v>
      </c>
      <c r="D40">
        <v>182</v>
      </c>
      <c r="E40">
        <f t="shared" si="12"/>
        <v>542.36</v>
      </c>
      <c r="F40">
        <f t="shared" si="14"/>
        <v>7.8136677585183278E-4</v>
      </c>
      <c r="G40">
        <v>143.64000000000001</v>
      </c>
      <c r="W40">
        <v>30</v>
      </c>
      <c r="X40">
        <f t="shared" si="16"/>
        <v>119.7</v>
      </c>
      <c r="Y40">
        <v>13</v>
      </c>
      <c r="Z40">
        <f t="shared" si="15"/>
        <v>38.74</v>
      </c>
      <c r="AA40">
        <f t="shared" ref="AA40:AA46" si="17">Z40^(-1/0.88)</f>
        <v>1.5677368375515564E-2</v>
      </c>
      <c r="AB40">
        <v>119.7</v>
      </c>
    </row>
    <row r="41" spans="1:28" x14ac:dyDescent="0.25">
      <c r="B41">
        <v>38</v>
      </c>
      <c r="C41">
        <f t="shared" si="13"/>
        <v>151.62</v>
      </c>
      <c r="D41">
        <v>181</v>
      </c>
      <c r="E41">
        <f t="shared" si="12"/>
        <v>539.38</v>
      </c>
      <c r="F41">
        <f t="shared" si="14"/>
        <v>7.8627423847093473E-4</v>
      </c>
      <c r="G41">
        <v>151.62</v>
      </c>
      <c r="W41">
        <v>32</v>
      </c>
      <c r="X41">
        <f t="shared" si="16"/>
        <v>127.68</v>
      </c>
      <c r="Y41">
        <v>12</v>
      </c>
      <c r="Z41">
        <f t="shared" si="15"/>
        <v>35.76</v>
      </c>
      <c r="AA41">
        <f t="shared" si="17"/>
        <v>1.7170208017345791E-2</v>
      </c>
      <c r="AB41">
        <v>127.68</v>
      </c>
    </row>
    <row r="42" spans="1:28" x14ac:dyDescent="0.25">
      <c r="B42">
        <v>40</v>
      </c>
      <c r="C42">
        <f t="shared" si="13"/>
        <v>159.60000000000002</v>
      </c>
      <c r="D42">
        <v>172</v>
      </c>
      <c r="E42">
        <f t="shared" si="12"/>
        <v>512.55999999999995</v>
      </c>
      <c r="F42">
        <f t="shared" si="14"/>
        <v>8.3319114674541535E-4</v>
      </c>
      <c r="G42">
        <v>159.60000000000002</v>
      </c>
      <c r="W42">
        <v>34</v>
      </c>
      <c r="X42">
        <f t="shared" si="16"/>
        <v>135.66</v>
      </c>
      <c r="Y42">
        <v>7</v>
      </c>
      <c r="Z42">
        <f t="shared" si="15"/>
        <v>20.86</v>
      </c>
      <c r="AA42">
        <f t="shared" si="17"/>
        <v>3.1679564295679342E-2</v>
      </c>
      <c r="AB42">
        <v>135.66</v>
      </c>
    </row>
    <row r="43" spans="1:28" x14ac:dyDescent="0.25">
      <c r="B43">
        <v>50</v>
      </c>
      <c r="C43">
        <f t="shared" si="13"/>
        <v>199.5</v>
      </c>
      <c r="D43">
        <v>167</v>
      </c>
      <c r="E43">
        <f t="shared" si="12"/>
        <v>497.66</v>
      </c>
      <c r="F43">
        <f t="shared" si="14"/>
        <v>8.6159607124354335E-4</v>
      </c>
      <c r="G43">
        <v>199.5</v>
      </c>
      <c r="W43">
        <v>36</v>
      </c>
      <c r="X43">
        <f t="shared" si="16"/>
        <v>143.64000000000001</v>
      </c>
      <c r="Z43">
        <f t="shared" si="15"/>
        <v>0</v>
      </c>
      <c r="AA43" t="e">
        <f t="shared" si="17"/>
        <v>#DIV/0!</v>
      </c>
      <c r="AB43">
        <v>143.64000000000001</v>
      </c>
    </row>
    <row r="44" spans="1:28" x14ac:dyDescent="0.25">
      <c r="B44">
        <v>60</v>
      </c>
      <c r="C44">
        <f t="shared" si="13"/>
        <v>239.4</v>
      </c>
      <c r="D44">
        <v>144</v>
      </c>
      <c r="E44">
        <f t="shared" si="12"/>
        <v>429.12</v>
      </c>
      <c r="F44">
        <f>E44^(-1/0.88)</f>
        <v>1.0196079935951374E-3</v>
      </c>
      <c r="G44">
        <v>239.4</v>
      </c>
      <c r="W44">
        <v>38</v>
      </c>
      <c r="X44">
        <f t="shared" si="16"/>
        <v>151.62</v>
      </c>
      <c r="Z44">
        <f t="shared" si="15"/>
        <v>0</v>
      </c>
      <c r="AA44" t="e">
        <f t="shared" si="17"/>
        <v>#DIV/0!</v>
      </c>
      <c r="AB44">
        <v>151.62</v>
      </c>
    </row>
    <row r="45" spans="1:28" x14ac:dyDescent="0.25">
      <c r="B45">
        <v>80</v>
      </c>
      <c r="C45">
        <f t="shared" si="13"/>
        <v>319.20000000000005</v>
      </c>
      <c r="D45">
        <v>62</v>
      </c>
      <c r="E45">
        <f t="shared" si="12"/>
        <v>184.76</v>
      </c>
      <c r="F45">
        <f>E45^(-1/0.88)</f>
        <v>2.6564958614843717E-3</v>
      </c>
      <c r="G45">
        <v>319.20000000000005</v>
      </c>
      <c r="W45">
        <v>40</v>
      </c>
      <c r="X45">
        <f t="shared" si="16"/>
        <v>159.60000000000002</v>
      </c>
      <c r="Z45">
        <f t="shared" si="15"/>
        <v>0</v>
      </c>
      <c r="AA45" t="e">
        <f t="shared" si="17"/>
        <v>#DIV/0!</v>
      </c>
      <c r="AB45">
        <v>159.60000000000002</v>
      </c>
    </row>
    <row r="46" spans="1:28" x14ac:dyDescent="0.25">
      <c r="W46">
        <v>50</v>
      </c>
      <c r="X46">
        <f t="shared" si="16"/>
        <v>199.5</v>
      </c>
      <c r="Z46">
        <f t="shared" si="15"/>
        <v>0</v>
      </c>
      <c r="AA46" t="e">
        <f t="shared" si="17"/>
        <v>#DIV/0!</v>
      </c>
      <c r="AB46">
        <v>199.5</v>
      </c>
    </row>
    <row r="48" spans="1:28" x14ac:dyDescent="0.25">
      <c r="A48" t="s">
        <v>8</v>
      </c>
    </row>
    <row r="49" spans="1:28" x14ac:dyDescent="0.25">
      <c r="B49" t="s">
        <v>0</v>
      </c>
      <c r="C49" t="s">
        <v>4</v>
      </c>
      <c r="D49" t="s">
        <v>1</v>
      </c>
      <c r="E49" t="s">
        <v>2</v>
      </c>
      <c r="F49" t="s">
        <v>3</v>
      </c>
    </row>
    <row r="50" spans="1:28" x14ac:dyDescent="0.25">
      <c r="B50">
        <v>24</v>
      </c>
      <c r="C50">
        <f>B50*3.99</f>
        <v>95.76</v>
      </c>
      <c r="D50">
        <v>17</v>
      </c>
      <c r="E50">
        <f t="shared" ref="E50:E61" si="18">D50*2.98</f>
        <v>50.66</v>
      </c>
      <c r="F50">
        <f>E50^(-1/0.88)</f>
        <v>1.1557940943796448E-2</v>
      </c>
      <c r="G50">
        <v>95.76</v>
      </c>
    </row>
    <row r="51" spans="1:28" x14ac:dyDescent="0.25">
      <c r="B51">
        <v>26</v>
      </c>
      <c r="C51">
        <f t="shared" ref="C51:C61" si="19">B51*3.99</f>
        <v>103.74000000000001</v>
      </c>
      <c r="D51">
        <v>17</v>
      </c>
      <c r="E51">
        <f t="shared" si="18"/>
        <v>50.66</v>
      </c>
      <c r="F51">
        <f>E51^(-1/0.88)</f>
        <v>1.1557940943796448E-2</v>
      </c>
      <c r="G51">
        <v>103.74000000000001</v>
      </c>
      <c r="V51" t="s">
        <v>56</v>
      </c>
    </row>
    <row r="52" spans="1:28" x14ac:dyDescent="0.25">
      <c r="B52">
        <v>28</v>
      </c>
      <c r="C52">
        <f t="shared" si="19"/>
        <v>111.72</v>
      </c>
      <c r="D52">
        <v>15</v>
      </c>
      <c r="E52">
        <f t="shared" si="18"/>
        <v>44.7</v>
      </c>
      <c r="F52">
        <f>E52^(-1/0.88)</f>
        <v>1.3324488363727047E-2</v>
      </c>
      <c r="G52">
        <v>111.72</v>
      </c>
      <c r="W52" t="s">
        <v>0</v>
      </c>
      <c r="X52" t="s">
        <v>4</v>
      </c>
      <c r="Y52" t="s">
        <v>1</v>
      </c>
      <c r="Z52" t="s">
        <v>2</v>
      </c>
      <c r="AA52" t="s">
        <v>3</v>
      </c>
    </row>
    <row r="53" spans="1:28" x14ac:dyDescent="0.25">
      <c r="B53">
        <v>30</v>
      </c>
      <c r="C53">
        <f t="shared" si="19"/>
        <v>119.7</v>
      </c>
      <c r="D53">
        <v>14</v>
      </c>
      <c r="E53">
        <f t="shared" si="18"/>
        <v>41.72</v>
      </c>
      <c r="F53">
        <f t="shared" ref="F53:F59" si="20">E53^(-1/0.88)</f>
        <v>1.4411183872075611E-2</v>
      </c>
      <c r="G53">
        <v>119.7</v>
      </c>
      <c r="W53">
        <v>24</v>
      </c>
      <c r="X53">
        <f>W53*3.99</f>
        <v>95.76</v>
      </c>
      <c r="Y53">
        <v>80</v>
      </c>
      <c r="Z53">
        <f t="shared" ref="Z53:Z62" si="21">Y53*2.98</f>
        <v>238.4</v>
      </c>
      <c r="AA53">
        <f>Z53^(-1/0.88)</f>
        <v>1.9884543439480438E-3</v>
      </c>
      <c r="AB53">
        <v>95.76</v>
      </c>
    </row>
    <row r="54" spans="1:28" x14ac:dyDescent="0.25">
      <c r="B54">
        <v>32</v>
      </c>
      <c r="C54">
        <f t="shared" si="19"/>
        <v>127.68</v>
      </c>
      <c r="D54">
        <v>14</v>
      </c>
      <c r="E54">
        <f t="shared" si="18"/>
        <v>41.72</v>
      </c>
      <c r="F54">
        <f t="shared" si="20"/>
        <v>1.4411183872075611E-2</v>
      </c>
      <c r="G54">
        <v>127.68</v>
      </c>
      <c r="W54">
        <v>26</v>
      </c>
      <c r="X54">
        <f t="shared" ref="X54:X62" si="22">W54*3.99</f>
        <v>103.74000000000001</v>
      </c>
      <c r="Y54">
        <v>79</v>
      </c>
      <c r="Z54">
        <f t="shared" si="21"/>
        <v>235.42</v>
      </c>
      <c r="AA54">
        <f>Z54^(-1/0.88)</f>
        <v>2.0170815632259611E-3</v>
      </c>
      <c r="AB54">
        <v>103.74000000000001</v>
      </c>
    </row>
    <row r="55" spans="1:28" x14ac:dyDescent="0.25">
      <c r="B55">
        <v>34</v>
      </c>
      <c r="C55">
        <f t="shared" si="19"/>
        <v>135.66</v>
      </c>
      <c r="D55">
        <v>12</v>
      </c>
      <c r="E55">
        <f t="shared" si="18"/>
        <v>35.76</v>
      </c>
      <c r="F55">
        <f t="shared" si="20"/>
        <v>1.7170208017345791E-2</v>
      </c>
      <c r="G55">
        <v>135.66</v>
      </c>
      <c r="W55">
        <v>28</v>
      </c>
      <c r="X55">
        <f t="shared" si="22"/>
        <v>111.72</v>
      </c>
      <c r="Y55">
        <v>78</v>
      </c>
      <c r="Z55">
        <f t="shared" si="21"/>
        <v>232.44</v>
      </c>
      <c r="AA55">
        <f>Z55^(-1/0.88)</f>
        <v>2.0464935427936043E-3</v>
      </c>
      <c r="AB55">
        <v>111.72</v>
      </c>
    </row>
    <row r="56" spans="1:28" x14ac:dyDescent="0.25">
      <c r="B56">
        <v>36</v>
      </c>
      <c r="C56">
        <f t="shared" si="19"/>
        <v>143.64000000000001</v>
      </c>
      <c r="D56">
        <v>12</v>
      </c>
      <c r="E56">
        <f t="shared" si="18"/>
        <v>35.76</v>
      </c>
      <c r="F56">
        <f t="shared" si="20"/>
        <v>1.7170208017345791E-2</v>
      </c>
      <c r="G56">
        <v>143.64000000000001</v>
      </c>
      <c r="W56">
        <v>30</v>
      </c>
      <c r="X56">
        <f t="shared" si="22"/>
        <v>119.7</v>
      </c>
      <c r="Y56">
        <v>77</v>
      </c>
      <c r="Z56">
        <f t="shared" si="21"/>
        <v>229.46</v>
      </c>
      <c r="AA56">
        <f t="shared" ref="AA56:AA62" si="23">Z56^(-1/0.88)</f>
        <v>2.0767222755836167E-3</v>
      </c>
      <c r="AB56">
        <v>119.7</v>
      </c>
    </row>
    <row r="57" spans="1:28" x14ac:dyDescent="0.25">
      <c r="B57">
        <v>38</v>
      </c>
      <c r="C57">
        <f t="shared" si="19"/>
        <v>151.62</v>
      </c>
      <c r="D57">
        <v>11</v>
      </c>
      <c r="E57">
        <f t="shared" si="18"/>
        <v>32.78</v>
      </c>
      <c r="F57">
        <f t="shared" si="20"/>
        <v>1.8954708205023315E-2</v>
      </c>
      <c r="G57">
        <v>151.62</v>
      </c>
      <c r="W57">
        <v>32</v>
      </c>
      <c r="X57">
        <f t="shared" si="22"/>
        <v>127.68</v>
      </c>
      <c r="Y57">
        <v>77</v>
      </c>
      <c r="Z57">
        <f t="shared" si="21"/>
        <v>229.46</v>
      </c>
      <c r="AA57">
        <f t="shared" si="23"/>
        <v>2.0767222755836167E-3</v>
      </c>
      <c r="AB57">
        <v>127.68</v>
      </c>
    </row>
    <row r="58" spans="1:28" x14ac:dyDescent="0.25">
      <c r="B58">
        <v>40</v>
      </c>
      <c r="C58">
        <f t="shared" si="19"/>
        <v>159.60000000000002</v>
      </c>
      <c r="D58">
        <v>11</v>
      </c>
      <c r="E58">
        <f t="shared" si="18"/>
        <v>32.78</v>
      </c>
      <c r="F58">
        <f t="shared" si="20"/>
        <v>1.8954708205023315E-2</v>
      </c>
      <c r="G58">
        <v>159.60000000000002</v>
      </c>
      <c r="W58">
        <v>34</v>
      </c>
      <c r="X58">
        <f t="shared" si="22"/>
        <v>135.66</v>
      </c>
      <c r="Y58">
        <v>76</v>
      </c>
      <c r="Z58">
        <f t="shared" si="21"/>
        <v>226.48</v>
      </c>
      <c r="AA58">
        <f t="shared" si="23"/>
        <v>2.1078014973171261E-3</v>
      </c>
      <c r="AB58">
        <v>135.66</v>
      </c>
    </row>
    <row r="59" spans="1:28" x14ac:dyDescent="0.25">
      <c r="B59">
        <v>50</v>
      </c>
      <c r="C59">
        <f t="shared" si="19"/>
        <v>199.5</v>
      </c>
      <c r="E59">
        <f t="shared" si="18"/>
        <v>0</v>
      </c>
      <c r="F59" t="e">
        <f t="shared" si="20"/>
        <v>#DIV/0!</v>
      </c>
      <c r="G59">
        <v>199.5</v>
      </c>
      <c r="W59">
        <v>36</v>
      </c>
      <c r="X59">
        <f t="shared" si="22"/>
        <v>143.64000000000001</v>
      </c>
      <c r="Y59">
        <v>76</v>
      </c>
      <c r="Z59">
        <f t="shared" si="21"/>
        <v>226.48</v>
      </c>
      <c r="AA59">
        <f t="shared" si="23"/>
        <v>2.1078014973171261E-3</v>
      </c>
      <c r="AB59">
        <v>143.64000000000001</v>
      </c>
    </row>
    <row r="60" spans="1:28" x14ac:dyDescent="0.25">
      <c r="B60">
        <v>60</v>
      </c>
      <c r="C60">
        <f t="shared" si="19"/>
        <v>239.4</v>
      </c>
      <c r="E60">
        <f t="shared" si="18"/>
        <v>0</v>
      </c>
      <c r="F60" t="e">
        <f>E60^(-1/0.88)</f>
        <v>#DIV/0!</v>
      </c>
      <c r="G60">
        <v>239.4</v>
      </c>
      <c r="W60">
        <v>38</v>
      </c>
      <c r="X60">
        <f t="shared" si="22"/>
        <v>151.62</v>
      </c>
      <c r="Y60">
        <v>75</v>
      </c>
      <c r="Z60">
        <f t="shared" si="21"/>
        <v>223.5</v>
      </c>
      <c r="AA60">
        <f t="shared" si="23"/>
        <v>2.1397668059655252E-3</v>
      </c>
      <c r="AB60">
        <v>151.62</v>
      </c>
    </row>
    <row r="61" spans="1:28" x14ac:dyDescent="0.25">
      <c r="B61">
        <v>80</v>
      </c>
      <c r="C61">
        <f t="shared" si="19"/>
        <v>319.20000000000005</v>
      </c>
      <c r="E61">
        <f t="shared" si="18"/>
        <v>0</v>
      </c>
      <c r="F61" t="e">
        <f>E61^(-1/0.88)</f>
        <v>#DIV/0!</v>
      </c>
      <c r="G61">
        <v>319.20000000000005</v>
      </c>
      <c r="W61">
        <v>40</v>
      </c>
      <c r="X61">
        <f t="shared" si="22"/>
        <v>159.60000000000002</v>
      </c>
      <c r="Y61">
        <v>74</v>
      </c>
      <c r="Z61">
        <f t="shared" si="21"/>
        <v>220.52</v>
      </c>
      <c r="AA61">
        <f t="shared" si="23"/>
        <v>2.172655791127472E-3</v>
      </c>
      <c r="AB61">
        <v>159.60000000000002</v>
      </c>
    </row>
    <row r="62" spans="1:28" x14ac:dyDescent="0.25">
      <c r="W62">
        <v>50</v>
      </c>
      <c r="X62">
        <f t="shared" si="22"/>
        <v>199.5</v>
      </c>
      <c r="Y62">
        <v>12</v>
      </c>
      <c r="Z62">
        <f t="shared" si="21"/>
        <v>35.76</v>
      </c>
      <c r="AA62">
        <f t="shared" si="23"/>
        <v>1.7170208017345791E-2</v>
      </c>
      <c r="AB62">
        <v>199.5</v>
      </c>
    </row>
    <row r="64" spans="1:28" x14ac:dyDescent="0.25">
      <c r="A64" t="s">
        <v>9</v>
      </c>
    </row>
    <row r="65" spans="1:28" x14ac:dyDescent="0.25">
      <c r="B65" t="s">
        <v>0</v>
      </c>
      <c r="C65" t="s">
        <v>4</v>
      </c>
      <c r="D65" t="s">
        <v>1</v>
      </c>
      <c r="E65" t="s">
        <v>2</v>
      </c>
      <c r="F65" t="s">
        <v>3</v>
      </c>
    </row>
    <row r="66" spans="1:28" x14ac:dyDescent="0.25">
      <c r="B66">
        <v>24</v>
      </c>
      <c r="C66">
        <f>B66*3.99</f>
        <v>95.76</v>
      </c>
      <c r="D66">
        <v>85</v>
      </c>
      <c r="E66">
        <f t="shared" ref="E66:E77" si="24">D66*2.98</f>
        <v>253.3</v>
      </c>
      <c r="F66">
        <f>E66^(-1/0.88)</f>
        <v>1.8560786502070086E-3</v>
      </c>
      <c r="G66">
        <v>95.76</v>
      </c>
    </row>
    <row r="67" spans="1:28" x14ac:dyDescent="0.25">
      <c r="B67">
        <v>26</v>
      </c>
      <c r="C67">
        <f t="shared" ref="C67:C77" si="25">B67*3.99</f>
        <v>103.74000000000001</v>
      </c>
      <c r="D67">
        <v>80</v>
      </c>
      <c r="E67">
        <f t="shared" si="24"/>
        <v>238.4</v>
      </c>
      <c r="F67">
        <f>E67^(-1/0.88)</f>
        <v>1.9884543439480438E-3</v>
      </c>
      <c r="G67">
        <v>103.74000000000001</v>
      </c>
      <c r="V67" t="s">
        <v>31</v>
      </c>
    </row>
    <row r="68" spans="1:28" x14ac:dyDescent="0.25">
      <c r="B68">
        <v>28</v>
      </c>
      <c r="C68">
        <f t="shared" si="25"/>
        <v>111.72</v>
      </c>
      <c r="D68">
        <v>77</v>
      </c>
      <c r="E68">
        <f t="shared" si="24"/>
        <v>229.46</v>
      </c>
      <c r="F68">
        <f>E68^(-1/0.88)</f>
        <v>2.0767222755836167E-3</v>
      </c>
      <c r="G68">
        <v>111.72</v>
      </c>
      <c r="W68" t="s">
        <v>0</v>
      </c>
      <c r="X68" t="s">
        <v>4</v>
      </c>
      <c r="Y68" t="s">
        <v>1</v>
      </c>
      <c r="Z68" t="s">
        <v>2</v>
      </c>
      <c r="AA68" t="s">
        <v>3</v>
      </c>
    </row>
    <row r="69" spans="1:28" x14ac:dyDescent="0.25">
      <c r="B69">
        <v>30</v>
      </c>
      <c r="C69">
        <f t="shared" si="25"/>
        <v>119.7</v>
      </c>
      <c r="D69">
        <v>72</v>
      </c>
      <c r="E69">
        <f t="shared" si="24"/>
        <v>214.56</v>
      </c>
      <c r="F69">
        <f t="shared" ref="F69:F75" si="26">E69^(-1/0.88)</f>
        <v>2.2413659610626821E-3</v>
      </c>
      <c r="G69">
        <v>119.7</v>
      </c>
      <c r="W69">
        <v>24</v>
      </c>
      <c r="X69">
        <f>W69*3.99</f>
        <v>95.76</v>
      </c>
      <c r="Y69">
        <v>14</v>
      </c>
      <c r="Z69">
        <f t="shared" ref="Z69:Z78" si="27">Y69*2.98</f>
        <v>41.72</v>
      </c>
      <c r="AA69">
        <f>Z69^(-1/0.88)</f>
        <v>1.4411183872075611E-2</v>
      </c>
      <c r="AB69">
        <v>95.76</v>
      </c>
    </row>
    <row r="70" spans="1:28" x14ac:dyDescent="0.25">
      <c r="B70">
        <v>32</v>
      </c>
      <c r="C70">
        <f t="shared" si="25"/>
        <v>127.68</v>
      </c>
      <c r="D70">
        <v>71</v>
      </c>
      <c r="E70">
        <f t="shared" si="24"/>
        <v>211.58</v>
      </c>
      <c r="F70">
        <f t="shared" si="26"/>
        <v>2.2772736065616657E-3</v>
      </c>
      <c r="G70">
        <v>127.68</v>
      </c>
      <c r="W70">
        <v>26</v>
      </c>
      <c r="X70">
        <f t="shared" ref="X70:X78" si="28">W70*3.99</f>
        <v>103.74000000000001</v>
      </c>
      <c r="Y70">
        <v>9</v>
      </c>
      <c r="Z70">
        <f t="shared" si="27"/>
        <v>26.82</v>
      </c>
      <c r="AA70">
        <f>Z70^(-1/0.88)</f>
        <v>2.380956131593407E-2</v>
      </c>
      <c r="AB70">
        <v>103.74000000000001</v>
      </c>
    </row>
    <row r="71" spans="1:28" x14ac:dyDescent="0.25">
      <c r="B71">
        <v>34</v>
      </c>
      <c r="C71">
        <f t="shared" si="25"/>
        <v>135.66</v>
      </c>
      <c r="D71">
        <v>69</v>
      </c>
      <c r="E71">
        <f t="shared" si="24"/>
        <v>205.62</v>
      </c>
      <c r="F71">
        <f t="shared" si="26"/>
        <v>2.3524296372682851E-3</v>
      </c>
      <c r="G71">
        <v>135.66</v>
      </c>
      <c r="W71">
        <v>28</v>
      </c>
      <c r="X71">
        <f t="shared" si="28"/>
        <v>111.72</v>
      </c>
      <c r="Y71">
        <v>9</v>
      </c>
      <c r="Z71">
        <f t="shared" si="27"/>
        <v>26.82</v>
      </c>
      <c r="AA71">
        <f>Z71^(-1/0.88)</f>
        <v>2.380956131593407E-2</v>
      </c>
      <c r="AB71">
        <v>111.72</v>
      </c>
    </row>
    <row r="72" spans="1:28" x14ac:dyDescent="0.25">
      <c r="B72">
        <v>36</v>
      </c>
      <c r="C72">
        <f t="shared" si="25"/>
        <v>143.64000000000001</v>
      </c>
      <c r="D72">
        <v>67</v>
      </c>
      <c r="E72">
        <f t="shared" si="24"/>
        <v>199.66</v>
      </c>
      <c r="F72">
        <f t="shared" si="26"/>
        <v>2.4323881482810543E-3</v>
      </c>
      <c r="G72">
        <v>143.64000000000001</v>
      </c>
      <c r="W72">
        <v>30</v>
      </c>
      <c r="X72">
        <f t="shared" si="28"/>
        <v>119.7</v>
      </c>
      <c r="Y72">
        <v>6</v>
      </c>
      <c r="Z72">
        <f t="shared" si="27"/>
        <v>17.88</v>
      </c>
      <c r="AA72">
        <f t="shared" ref="AA72:AA78" si="29">Z72^(-1/0.88)</f>
        <v>3.774462345940157E-2</v>
      </c>
      <c r="AB72">
        <v>119.7</v>
      </c>
    </row>
    <row r="73" spans="1:28" x14ac:dyDescent="0.25">
      <c r="B73">
        <v>38</v>
      </c>
      <c r="C73">
        <f t="shared" si="25"/>
        <v>151.62</v>
      </c>
      <c r="D73">
        <v>63</v>
      </c>
      <c r="E73">
        <f t="shared" si="24"/>
        <v>187.74</v>
      </c>
      <c r="F73">
        <f t="shared" si="26"/>
        <v>2.6086313659827404E-3</v>
      </c>
      <c r="G73">
        <v>151.62</v>
      </c>
      <c r="W73">
        <v>32</v>
      </c>
      <c r="X73">
        <f t="shared" si="28"/>
        <v>127.68</v>
      </c>
      <c r="Y73">
        <v>5</v>
      </c>
      <c r="Z73">
        <f t="shared" si="27"/>
        <v>14.9</v>
      </c>
      <c r="AA73">
        <f t="shared" si="29"/>
        <v>4.6433752896768397E-2</v>
      </c>
      <c r="AB73">
        <v>127.68</v>
      </c>
    </row>
    <row r="74" spans="1:28" x14ac:dyDescent="0.25">
      <c r="B74">
        <v>40</v>
      </c>
      <c r="C74">
        <f t="shared" si="25"/>
        <v>159.60000000000002</v>
      </c>
      <c r="D74">
        <v>60</v>
      </c>
      <c r="E74">
        <f t="shared" si="24"/>
        <v>178.8</v>
      </c>
      <c r="F74">
        <f t="shared" si="26"/>
        <v>2.7573472364655128E-3</v>
      </c>
      <c r="G74">
        <v>159.60000000000002</v>
      </c>
      <c r="W74">
        <v>34</v>
      </c>
      <c r="X74">
        <f t="shared" si="28"/>
        <v>135.66</v>
      </c>
      <c r="Y74">
        <v>3</v>
      </c>
      <c r="Z74">
        <f t="shared" si="27"/>
        <v>8.94</v>
      </c>
      <c r="AA74">
        <f t="shared" si="29"/>
        <v>8.297258825593623E-2</v>
      </c>
      <c r="AB74">
        <v>135.66</v>
      </c>
    </row>
    <row r="75" spans="1:28" x14ac:dyDescent="0.25">
      <c r="B75">
        <v>50</v>
      </c>
      <c r="C75">
        <f t="shared" si="25"/>
        <v>199.5</v>
      </c>
      <c r="D75">
        <v>50</v>
      </c>
      <c r="E75">
        <f t="shared" si="24"/>
        <v>149</v>
      </c>
      <c r="F75">
        <f t="shared" si="26"/>
        <v>3.3921117365587512E-3</v>
      </c>
      <c r="G75">
        <v>199.5</v>
      </c>
      <c r="W75">
        <v>36</v>
      </c>
      <c r="X75">
        <f t="shared" si="28"/>
        <v>143.64000000000001</v>
      </c>
      <c r="Y75">
        <v>2</v>
      </c>
      <c r="Z75">
        <f t="shared" si="27"/>
        <v>5.96</v>
      </c>
      <c r="AA75">
        <f t="shared" si="29"/>
        <v>0.13153409504762295</v>
      </c>
      <c r="AB75">
        <v>143.64000000000001</v>
      </c>
    </row>
    <row r="76" spans="1:28" x14ac:dyDescent="0.25">
      <c r="B76">
        <v>60</v>
      </c>
      <c r="C76">
        <f t="shared" si="25"/>
        <v>239.4</v>
      </c>
      <c r="D76">
        <v>43</v>
      </c>
      <c r="E76">
        <f t="shared" si="24"/>
        <v>128.13999999999999</v>
      </c>
      <c r="F76">
        <f>E76^(-1/0.88)</f>
        <v>4.026277718217495E-3</v>
      </c>
      <c r="G76">
        <v>239.4</v>
      </c>
      <c r="W76">
        <v>38</v>
      </c>
      <c r="X76">
        <f t="shared" si="28"/>
        <v>151.62</v>
      </c>
      <c r="Z76">
        <f t="shared" si="27"/>
        <v>0</v>
      </c>
      <c r="AA76" t="e">
        <f t="shared" si="29"/>
        <v>#DIV/0!</v>
      </c>
      <c r="AB76">
        <v>151.62</v>
      </c>
    </row>
    <row r="77" spans="1:28" x14ac:dyDescent="0.25">
      <c r="B77">
        <v>80</v>
      </c>
      <c r="C77">
        <f t="shared" si="25"/>
        <v>319.20000000000005</v>
      </c>
      <c r="D77">
        <v>38</v>
      </c>
      <c r="E77">
        <f t="shared" si="24"/>
        <v>113.24</v>
      </c>
      <c r="F77">
        <f>E77^(-1/0.88)</f>
        <v>4.6335008733165064E-3</v>
      </c>
      <c r="G77">
        <v>319.20000000000005</v>
      </c>
      <c r="W77">
        <v>40</v>
      </c>
      <c r="X77">
        <f t="shared" si="28"/>
        <v>159.60000000000002</v>
      </c>
      <c r="Z77">
        <f t="shared" si="27"/>
        <v>0</v>
      </c>
      <c r="AA77" t="e">
        <f t="shared" si="29"/>
        <v>#DIV/0!</v>
      </c>
      <c r="AB77">
        <v>159.60000000000002</v>
      </c>
    </row>
    <row r="78" spans="1:28" x14ac:dyDescent="0.25">
      <c r="W78">
        <v>50</v>
      </c>
      <c r="X78">
        <f t="shared" si="28"/>
        <v>199.5</v>
      </c>
      <c r="Z78">
        <f t="shared" si="27"/>
        <v>0</v>
      </c>
      <c r="AA78" t="e">
        <f t="shared" si="29"/>
        <v>#DIV/0!</v>
      </c>
      <c r="AB78">
        <v>199.5</v>
      </c>
    </row>
    <row r="80" spans="1:28" x14ac:dyDescent="0.25">
      <c r="A80" t="s">
        <v>10</v>
      </c>
    </row>
    <row r="81" spans="2:28" x14ac:dyDescent="0.25">
      <c r="B81" t="s">
        <v>0</v>
      </c>
      <c r="C81" t="s">
        <v>4</v>
      </c>
      <c r="D81" t="s">
        <v>1</v>
      </c>
      <c r="E81" t="s">
        <v>2</v>
      </c>
      <c r="F81" t="s">
        <v>3</v>
      </c>
    </row>
    <row r="82" spans="2:28" x14ac:dyDescent="0.25">
      <c r="B82">
        <v>24</v>
      </c>
      <c r="C82">
        <f>B82*3.99</f>
        <v>95.76</v>
      </c>
      <c r="D82">
        <v>284</v>
      </c>
      <c r="E82">
        <f t="shared" ref="E82:E93" si="30">D82*2.98</f>
        <v>846.32</v>
      </c>
      <c r="F82">
        <f>E82^(-1/0.88)</f>
        <v>4.7125517425663241E-4</v>
      </c>
      <c r="G82">
        <v>95.76</v>
      </c>
      <c r="V82" t="s">
        <v>32</v>
      </c>
    </row>
    <row r="83" spans="2:28" x14ac:dyDescent="0.25">
      <c r="B83">
        <v>26</v>
      </c>
      <c r="C83">
        <f t="shared" ref="C83:C93" si="31">B83*3.99</f>
        <v>103.74000000000001</v>
      </c>
      <c r="D83">
        <v>244</v>
      </c>
      <c r="E83">
        <f t="shared" si="30"/>
        <v>727.12</v>
      </c>
      <c r="F83">
        <f>E83^(-1/0.88)</f>
        <v>5.5998307012995968E-4</v>
      </c>
      <c r="G83">
        <v>103.74000000000001</v>
      </c>
      <c r="W83" t="s">
        <v>0</v>
      </c>
      <c r="X83" t="s">
        <v>4</v>
      </c>
      <c r="Y83" t="s">
        <v>1</v>
      </c>
      <c r="Z83" t="s">
        <v>2</v>
      </c>
      <c r="AA83" t="s">
        <v>3</v>
      </c>
    </row>
    <row r="84" spans="2:28" x14ac:dyDescent="0.25">
      <c r="B84">
        <v>28</v>
      </c>
      <c r="C84">
        <f t="shared" si="31"/>
        <v>111.72</v>
      </c>
      <c r="D84">
        <v>238</v>
      </c>
      <c r="E84">
        <f t="shared" si="30"/>
        <v>709.24</v>
      </c>
      <c r="F84">
        <f>E84^(-1/0.88)</f>
        <v>5.7605274268125544E-4</v>
      </c>
      <c r="G84">
        <v>111.72</v>
      </c>
      <c r="W84">
        <v>24</v>
      </c>
      <c r="X84">
        <f>W84*3.99</f>
        <v>95.76</v>
      </c>
      <c r="Y84">
        <v>26</v>
      </c>
      <c r="Z84">
        <f t="shared" ref="Z84:Z93" si="32">Y84*2.98</f>
        <v>77.48</v>
      </c>
      <c r="AA84">
        <f>Z84^(-1/0.88)</f>
        <v>7.1317091416131561E-3</v>
      </c>
      <c r="AB84">
        <v>95.76</v>
      </c>
    </row>
    <row r="85" spans="2:28" x14ac:dyDescent="0.25">
      <c r="B85">
        <v>30</v>
      </c>
      <c r="C85">
        <f t="shared" si="31"/>
        <v>119.7</v>
      </c>
      <c r="D85">
        <v>224</v>
      </c>
      <c r="E85">
        <f t="shared" si="30"/>
        <v>667.52</v>
      </c>
      <c r="F85">
        <f t="shared" ref="F85:F91" si="33">E85^(-1/0.88)</f>
        <v>6.1713687531504897E-4</v>
      </c>
      <c r="G85">
        <v>119.7</v>
      </c>
      <c r="W85">
        <v>26</v>
      </c>
      <c r="X85">
        <f t="shared" ref="X85:X93" si="34">W85*3.99</f>
        <v>103.74000000000001</v>
      </c>
      <c r="Y85">
        <v>16</v>
      </c>
      <c r="Z85">
        <f t="shared" si="32"/>
        <v>47.68</v>
      </c>
      <c r="AA85">
        <f>Z85^(-1/0.88)</f>
        <v>1.2382254315690646E-2</v>
      </c>
      <c r="AB85">
        <v>103.74000000000001</v>
      </c>
    </row>
    <row r="86" spans="2:28" x14ac:dyDescent="0.25">
      <c r="B86">
        <v>32</v>
      </c>
      <c r="C86">
        <f t="shared" si="31"/>
        <v>127.68</v>
      </c>
      <c r="D86">
        <v>216</v>
      </c>
      <c r="E86">
        <f t="shared" si="30"/>
        <v>643.67999999999995</v>
      </c>
      <c r="F86">
        <f t="shared" si="33"/>
        <v>6.431755523493793E-4</v>
      </c>
      <c r="G86">
        <v>127.68</v>
      </c>
      <c r="W86">
        <v>28</v>
      </c>
      <c r="X86">
        <f t="shared" si="34"/>
        <v>111.72</v>
      </c>
      <c r="Y86">
        <v>14</v>
      </c>
      <c r="Z86">
        <f t="shared" si="32"/>
        <v>41.72</v>
      </c>
      <c r="AA86">
        <f>Z86^(-1/0.88)</f>
        <v>1.4411183872075611E-2</v>
      </c>
      <c r="AB86">
        <v>111.72</v>
      </c>
    </row>
    <row r="87" spans="2:28" x14ac:dyDescent="0.25">
      <c r="B87">
        <v>34</v>
      </c>
      <c r="C87">
        <f t="shared" si="31"/>
        <v>135.66</v>
      </c>
      <c r="D87">
        <v>216</v>
      </c>
      <c r="E87">
        <f t="shared" si="30"/>
        <v>643.67999999999995</v>
      </c>
      <c r="F87">
        <f t="shared" si="33"/>
        <v>6.431755523493793E-4</v>
      </c>
      <c r="G87">
        <v>135.66</v>
      </c>
      <c r="W87">
        <v>30</v>
      </c>
      <c r="X87">
        <f t="shared" si="34"/>
        <v>119.7</v>
      </c>
      <c r="Y87">
        <v>13</v>
      </c>
      <c r="Z87">
        <f t="shared" si="32"/>
        <v>38.74</v>
      </c>
      <c r="AA87">
        <f t="shared" ref="AA87:AA93" si="35">Z87^(-1/0.88)</f>
        <v>1.5677368375515564E-2</v>
      </c>
      <c r="AB87">
        <v>119.7</v>
      </c>
    </row>
    <row r="88" spans="2:28" x14ac:dyDescent="0.25">
      <c r="B88">
        <v>36</v>
      </c>
      <c r="C88">
        <f t="shared" si="31"/>
        <v>143.64000000000001</v>
      </c>
      <c r="D88">
        <v>215</v>
      </c>
      <c r="E88">
        <f t="shared" si="30"/>
        <v>640.70000000000005</v>
      </c>
      <c r="F88">
        <f t="shared" si="33"/>
        <v>6.4657607690916193E-4</v>
      </c>
      <c r="G88">
        <v>143.64000000000001</v>
      </c>
      <c r="W88">
        <v>32</v>
      </c>
      <c r="X88">
        <f t="shared" si="34"/>
        <v>127.68</v>
      </c>
      <c r="Y88">
        <v>11</v>
      </c>
      <c r="Z88">
        <f t="shared" si="32"/>
        <v>32.78</v>
      </c>
      <c r="AA88">
        <f t="shared" si="35"/>
        <v>1.8954708205023315E-2</v>
      </c>
      <c r="AB88">
        <v>127.68</v>
      </c>
    </row>
    <row r="89" spans="2:28" x14ac:dyDescent="0.25">
      <c r="B89">
        <v>38</v>
      </c>
      <c r="C89">
        <f t="shared" si="31"/>
        <v>151.62</v>
      </c>
      <c r="D89">
        <v>215</v>
      </c>
      <c r="E89">
        <f t="shared" si="30"/>
        <v>640.70000000000005</v>
      </c>
      <c r="F89">
        <f t="shared" si="33"/>
        <v>6.4657607690916193E-4</v>
      </c>
      <c r="G89">
        <v>151.62</v>
      </c>
      <c r="W89">
        <v>34</v>
      </c>
      <c r="X89">
        <f t="shared" si="34"/>
        <v>135.66</v>
      </c>
      <c r="Y89">
        <v>10</v>
      </c>
      <c r="Z89">
        <f t="shared" si="32"/>
        <v>29.8</v>
      </c>
      <c r="AA89">
        <f t="shared" si="35"/>
        <v>2.1122934160970067E-2</v>
      </c>
      <c r="AB89">
        <v>135.66</v>
      </c>
    </row>
    <row r="90" spans="2:28" x14ac:dyDescent="0.25">
      <c r="B90">
        <v>40</v>
      </c>
      <c r="C90">
        <f t="shared" si="31"/>
        <v>159.60000000000002</v>
      </c>
      <c r="D90">
        <v>215</v>
      </c>
      <c r="E90">
        <f t="shared" si="30"/>
        <v>640.70000000000005</v>
      </c>
      <c r="F90">
        <f t="shared" si="33"/>
        <v>6.4657607690916193E-4</v>
      </c>
      <c r="G90">
        <v>159.60000000000002</v>
      </c>
      <c r="W90">
        <v>36</v>
      </c>
      <c r="X90">
        <f t="shared" si="34"/>
        <v>143.64000000000001</v>
      </c>
      <c r="Y90">
        <v>9</v>
      </c>
      <c r="Z90">
        <f t="shared" si="32"/>
        <v>26.82</v>
      </c>
      <c r="AA90">
        <f t="shared" si="35"/>
        <v>2.380956131593407E-2</v>
      </c>
      <c r="AB90">
        <v>143.64000000000001</v>
      </c>
    </row>
    <row r="91" spans="2:28" x14ac:dyDescent="0.25">
      <c r="B91">
        <v>50</v>
      </c>
      <c r="C91">
        <f t="shared" si="31"/>
        <v>199.5</v>
      </c>
      <c r="D91">
        <v>205</v>
      </c>
      <c r="E91">
        <f t="shared" si="30"/>
        <v>610.9</v>
      </c>
      <c r="F91">
        <f t="shared" si="33"/>
        <v>6.8253489179710236E-4</v>
      </c>
      <c r="G91">
        <v>199.5</v>
      </c>
      <c r="W91">
        <v>38</v>
      </c>
      <c r="X91">
        <f t="shared" si="34"/>
        <v>151.62</v>
      </c>
      <c r="Y91">
        <v>8</v>
      </c>
      <c r="Z91">
        <f t="shared" si="32"/>
        <v>23.84</v>
      </c>
      <c r="AA91">
        <f t="shared" si="35"/>
        <v>2.7219444648087589E-2</v>
      </c>
      <c r="AB91">
        <v>151.62</v>
      </c>
    </row>
    <row r="92" spans="2:28" x14ac:dyDescent="0.25">
      <c r="B92">
        <v>60</v>
      </c>
      <c r="C92">
        <f t="shared" si="31"/>
        <v>239.4</v>
      </c>
      <c r="D92">
        <v>203</v>
      </c>
      <c r="E92">
        <f t="shared" si="30"/>
        <v>604.93999999999994</v>
      </c>
      <c r="F92">
        <f>E92^(-1/0.88)</f>
        <v>6.9018146686135057E-4</v>
      </c>
      <c r="G92">
        <v>239.4</v>
      </c>
      <c r="W92">
        <v>40</v>
      </c>
      <c r="X92">
        <f t="shared" si="34"/>
        <v>159.60000000000002</v>
      </c>
      <c r="Y92">
        <v>6</v>
      </c>
      <c r="Z92">
        <f t="shared" si="32"/>
        <v>17.88</v>
      </c>
      <c r="AA92">
        <f t="shared" si="35"/>
        <v>3.774462345940157E-2</v>
      </c>
      <c r="AB92">
        <v>159.60000000000002</v>
      </c>
    </row>
    <row r="93" spans="2:28" x14ac:dyDescent="0.25">
      <c r="B93">
        <v>80</v>
      </c>
      <c r="C93">
        <f t="shared" si="31"/>
        <v>319.20000000000005</v>
      </c>
      <c r="D93">
        <v>201</v>
      </c>
      <c r="E93">
        <f t="shared" si="30"/>
        <v>598.98</v>
      </c>
      <c r="F93">
        <f>E93^(-1/0.88)</f>
        <v>6.9799069762664298E-4</v>
      </c>
      <c r="G93">
        <v>319.20000000000005</v>
      </c>
      <c r="W93">
        <v>50</v>
      </c>
      <c r="X93">
        <f t="shared" si="34"/>
        <v>199.5</v>
      </c>
      <c r="Z93">
        <f t="shared" si="32"/>
        <v>0</v>
      </c>
      <c r="AA93" t="e">
        <f t="shared" si="35"/>
        <v>#DIV/0!</v>
      </c>
      <c r="AB93">
        <v>199.5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4"/>
  <sheetViews>
    <sheetView topLeftCell="E1" workbookViewId="0">
      <selection activeCell="R3" sqref="R3:R10"/>
    </sheetView>
  </sheetViews>
  <sheetFormatPr defaultRowHeight="15" x14ac:dyDescent="0.25"/>
  <cols>
    <col min="1" max="1" width="10.42578125" bestFit="1" customWidth="1"/>
    <col min="2" max="2" width="6.28515625" bestFit="1" customWidth="1"/>
    <col min="3" max="3" width="19.140625" bestFit="1" customWidth="1"/>
    <col min="4" max="4" width="13.7109375" bestFit="1" customWidth="1"/>
    <col min="5" max="5" width="17.7109375" bestFit="1" customWidth="1"/>
    <col min="6" max="6" width="12" bestFit="1" customWidth="1"/>
    <col min="7" max="7" width="7" bestFit="1" customWidth="1"/>
    <col min="17" max="17" width="18" bestFit="1" customWidth="1"/>
    <col min="18" max="18" width="20" bestFit="1" customWidth="1"/>
  </cols>
  <sheetData>
    <row r="1" spans="1:18" x14ac:dyDescent="0.25">
      <c r="A1" t="s">
        <v>5</v>
      </c>
    </row>
    <row r="2" spans="1:18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Q2" t="s">
        <v>14</v>
      </c>
      <c r="R2" t="s">
        <v>15</v>
      </c>
    </row>
    <row r="3" spans="1:18" x14ac:dyDescent="0.25">
      <c r="B3">
        <v>24</v>
      </c>
      <c r="C3">
        <f>B3*3.99</f>
        <v>95.76</v>
      </c>
      <c r="E3">
        <f t="shared" ref="E3:E14" si="0">D3*2.98</f>
        <v>0</v>
      </c>
      <c r="F3" t="e">
        <f>E3^(-1/0.88)</f>
        <v>#DIV/0!</v>
      </c>
      <c r="G3">
        <v>95.76</v>
      </c>
      <c r="Q3" t="s">
        <v>16</v>
      </c>
      <c r="R3">
        <v>89.037999999999997</v>
      </c>
    </row>
    <row r="4" spans="1:18" x14ac:dyDescent="0.25">
      <c r="B4">
        <v>26</v>
      </c>
      <c r="C4">
        <f t="shared" ref="C4:C14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Q4" t="s">
        <v>17</v>
      </c>
      <c r="R4">
        <v>92.588999999999999</v>
      </c>
    </row>
    <row r="5" spans="1:18" x14ac:dyDescent="0.25">
      <c r="B5">
        <v>28</v>
      </c>
      <c r="C5">
        <f t="shared" si="1"/>
        <v>111.72</v>
      </c>
      <c r="E5">
        <f t="shared" si="0"/>
        <v>0</v>
      </c>
      <c r="F5" t="e">
        <f>E5^(-1/0.88)</f>
        <v>#DIV/0!</v>
      </c>
      <c r="G5">
        <v>111.72</v>
      </c>
      <c r="Q5" t="s">
        <v>18</v>
      </c>
      <c r="R5">
        <v>52.920999999999999</v>
      </c>
    </row>
    <row r="6" spans="1:18" x14ac:dyDescent="0.25">
      <c r="B6">
        <v>30</v>
      </c>
      <c r="C6">
        <f t="shared" si="1"/>
        <v>119.7</v>
      </c>
      <c r="D6">
        <v>83</v>
      </c>
      <c r="E6">
        <f t="shared" si="0"/>
        <v>247.34</v>
      </c>
      <c r="F6">
        <f t="shared" ref="F6:F12" si="2">E6^(-1/0.88)</f>
        <v>1.9069851986305069E-3</v>
      </c>
      <c r="G6">
        <v>119.7</v>
      </c>
      <c r="Q6" t="s">
        <v>19</v>
      </c>
    </row>
    <row r="7" spans="1:18" x14ac:dyDescent="0.25">
      <c r="B7">
        <v>32</v>
      </c>
      <c r="C7">
        <f t="shared" si="1"/>
        <v>127.68</v>
      </c>
      <c r="D7">
        <v>75</v>
      </c>
      <c r="E7">
        <f t="shared" si="0"/>
        <v>223.5</v>
      </c>
      <c r="F7">
        <f t="shared" si="2"/>
        <v>2.1397668059655252E-3</v>
      </c>
      <c r="G7">
        <v>127.68</v>
      </c>
      <c r="Q7" t="s">
        <v>20</v>
      </c>
      <c r="R7">
        <v>113.59</v>
      </c>
    </row>
    <row r="8" spans="1:18" x14ac:dyDescent="0.25">
      <c r="B8">
        <v>34</v>
      </c>
      <c r="C8">
        <f t="shared" si="1"/>
        <v>135.66</v>
      </c>
      <c r="D8">
        <v>45</v>
      </c>
      <c r="E8">
        <f t="shared" si="0"/>
        <v>134.1</v>
      </c>
      <c r="F8">
        <f t="shared" si="2"/>
        <v>3.8235546144592112E-3</v>
      </c>
      <c r="G8">
        <v>135.66</v>
      </c>
      <c r="Q8" t="s">
        <v>21</v>
      </c>
      <c r="R8">
        <v>90.028999999999996</v>
      </c>
    </row>
    <row r="9" spans="1:18" x14ac:dyDescent="0.25">
      <c r="B9">
        <v>36</v>
      </c>
      <c r="C9">
        <f t="shared" si="1"/>
        <v>143.64000000000001</v>
      </c>
      <c r="D9">
        <v>39</v>
      </c>
      <c r="E9">
        <f t="shared" si="0"/>
        <v>116.22</v>
      </c>
      <c r="F9">
        <f t="shared" si="2"/>
        <v>4.4987298993004231E-3</v>
      </c>
      <c r="G9">
        <v>143.64000000000001</v>
      </c>
      <c r="Q9" t="s">
        <v>22</v>
      </c>
      <c r="R9">
        <f>AVERAGE(R3:R8)</f>
        <v>87.633400000000009</v>
      </c>
    </row>
    <row r="10" spans="1:18" x14ac:dyDescent="0.25">
      <c r="B10">
        <v>38</v>
      </c>
      <c r="C10">
        <f t="shared" si="1"/>
        <v>151.62</v>
      </c>
      <c r="D10">
        <v>35</v>
      </c>
      <c r="E10">
        <f t="shared" si="0"/>
        <v>104.3</v>
      </c>
      <c r="F10">
        <f t="shared" si="2"/>
        <v>5.0873908443554222E-3</v>
      </c>
      <c r="G10">
        <v>151.62</v>
      </c>
      <c r="Q10" t="s">
        <v>23</v>
      </c>
      <c r="R10">
        <f>STDEV(R3:R8)</f>
        <v>21.857296088491832</v>
      </c>
    </row>
    <row r="11" spans="1:18" x14ac:dyDescent="0.25">
      <c r="B11">
        <v>40</v>
      </c>
      <c r="C11">
        <f t="shared" si="1"/>
        <v>159.60000000000002</v>
      </c>
      <c r="D11">
        <v>32</v>
      </c>
      <c r="E11">
        <f t="shared" si="0"/>
        <v>95.36</v>
      </c>
      <c r="F11">
        <f t="shared" si="2"/>
        <v>5.6327461460243889E-3</v>
      </c>
      <c r="G11">
        <v>159.60000000000002</v>
      </c>
    </row>
    <row r="12" spans="1:18" x14ac:dyDescent="0.25">
      <c r="B12">
        <v>50</v>
      </c>
      <c r="C12">
        <f t="shared" si="1"/>
        <v>199.5</v>
      </c>
      <c r="D12">
        <v>22</v>
      </c>
      <c r="E12">
        <f t="shared" si="0"/>
        <v>65.56</v>
      </c>
      <c r="F12">
        <f t="shared" si="2"/>
        <v>8.6225865556297E-3</v>
      </c>
      <c r="G12">
        <v>199.5</v>
      </c>
    </row>
    <row r="13" spans="1:18" x14ac:dyDescent="0.25">
      <c r="B13">
        <v>60</v>
      </c>
      <c r="C13">
        <f t="shared" si="1"/>
        <v>239.4</v>
      </c>
      <c r="D13">
        <v>19</v>
      </c>
      <c r="E13">
        <f t="shared" si="0"/>
        <v>56.62</v>
      </c>
      <c r="F13">
        <f>E13^(-1/0.88)</f>
        <v>1.0185650959234835E-2</v>
      </c>
      <c r="G13">
        <v>239.4</v>
      </c>
    </row>
    <row r="14" spans="1:18" x14ac:dyDescent="0.25">
      <c r="B14">
        <v>80</v>
      </c>
      <c r="C14">
        <f t="shared" si="1"/>
        <v>319.20000000000005</v>
      </c>
      <c r="D14">
        <v>12</v>
      </c>
      <c r="E14">
        <f t="shared" si="0"/>
        <v>35.76</v>
      </c>
      <c r="F14">
        <f>E14^(-1/0.88)</f>
        <v>1.7170208017345791E-2</v>
      </c>
      <c r="G14">
        <v>319.20000000000005</v>
      </c>
    </row>
    <row r="17" spans="1:7" x14ac:dyDescent="0.25">
      <c r="A17" t="s">
        <v>25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E19">
        <f t="shared" ref="E19:E30" si="3">D19*2.98</f>
        <v>0</v>
      </c>
      <c r="F19" t="e">
        <f>E19^(-1/0.88)</f>
        <v>#DIV/0!</v>
      </c>
      <c r="G19">
        <v>95.76</v>
      </c>
    </row>
    <row r="20" spans="1:7" x14ac:dyDescent="0.25">
      <c r="B20">
        <v>26</v>
      </c>
      <c r="C20">
        <f t="shared" ref="C20:C30" si="4">B20*3.99</f>
        <v>103.74000000000001</v>
      </c>
      <c r="E20">
        <f t="shared" si="3"/>
        <v>0</v>
      </c>
      <c r="F20" t="e">
        <f>E20^(-1/0.88)</f>
        <v>#DIV/0!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E21">
        <f t="shared" si="3"/>
        <v>0</v>
      </c>
      <c r="F21" t="e">
        <f>E21^(-1/0.88)</f>
        <v>#DIV/0!</v>
      </c>
      <c r="G21">
        <v>111.72</v>
      </c>
    </row>
    <row r="22" spans="1:7" x14ac:dyDescent="0.25">
      <c r="B22">
        <v>30</v>
      </c>
      <c r="C22">
        <f t="shared" si="4"/>
        <v>119.7</v>
      </c>
      <c r="D22">
        <v>310</v>
      </c>
      <c r="E22">
        <f t="shared" si="3"/>
        <v>923.8</v>
      </c>
      <c r="F22">
        <f t="shared" ref="F22:F28" si="5">E22^(-1/0.88)</f>
        <v>4.2660412238140766E-4</v>
      </c>
      <c r="G22">
        <v>119.7</v>
      </c>
    </row>
    <row r="23" spans="1:7" x14ac:dyDescent="0.25">
      <c r="B23">
        <v>32</v>
      </c>
      <c r="C23">
        <f t="shared" si="4"/>
        <v>127.68</v>
      </c>
      <c r="D23">
        <v>191</v>
      </c>
      <c r="E23">
        <f t="shared" si="3"/>
        <v>569.17999999999995</v>
      </c>
      <c r="F23">
        <f t="shared" si="5"/>
        <v>7.3966404782420598E-4</v>
      </c>
      <c r="G23">
        <v>127.68</v>
      </c>
    </row>
    <row r="24" spans="1:7" x14ac:dyDescent="0.25">
      <c r="B24">
        <v>34</v>
      </c>
      <c r="C24">
        <f t="shared" si="4"/>
        <v>135.66</v>
      </c>
      <c r="D24">
        <v>190</v>
      </c>
      <c r="E24">
        <f t="shared" si="3"/>
        <v>566.20000000000005</v>
      </c>
      <c r="F24">
        <f t="shared" si="5"/>
        <v>7.4408946096011185E-4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189</v>
      </c>
      <c r="E25">
        <f t="shared" si="3"/>
        <v>563.22</v>
      </c>
      <c r="F25">
        <f t="shared" si="5"/>
        <v>7.4856491480596E-4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189</v>
      </c>
      <c r="E26">
        <f t="shared" si="3"/>
        <v>563.22</v>
      </c>
      <c r="F26">
        <f t="shared" si="5"/>
        <v>7.4856491480596E-4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92</v>
      </c>
      <c r="E27">
        <f t="shared" si="3"/>
        <v>274.16000000000003</v>
      </c>
      <c r="F27">
        <f t="shared" si="5"/>
        <v>1.6964489887948682E-3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D28">
        <v>92</v>
      </c>
      <c r="E28">
        <f t="shared" si="3"/>
        <v>274.16000000000003</v>
      </c>
      <c r="F28">
        <f t="shared" si="5"/>
        <v>1.6964489887948682E-3</v>
      </c>
      <c r="G28">
        <v>199.5</v>
      </c>
    </row>
    <row r="29" spans="1:7" x14ac:dyDescent="0.25">
      <c r="B29">
        <v>60</v>
      </c>
      <c r="C29">
        <f t="shared" si="4"/>
        <v>239.4</v>
      </c>
      <c r="D29">
        <v>91</v>
      </c>
      <c r="E29">
        <f t="shared" si="3"/>
        <v>271.18</v>
      </c>
      <c r="F29">
        <f>E29^(-1/0.88)</f>
        <v>1.7176492392183068E-3</v>
      </c>
      <c r="G29">
        <v>239.4</v>
      </c>
    </row>
    <row r="30" spans="1:7" x14ac:dyDescent="0.25">
      <c r="B30">
        <v>80</v>
      </c>
      <c r="C30">
        <f t="shared" si="4"/>
        <v>319.20000000000005</v>
      </c>
      <c r="D30">
        <v>88</v>
      </c>
      <c r="E30">
        <f t="shared" si="3"/>
        <v>262.24</v>
      </c>
      <c r="F30">
        <f>E30^(-1/0.88)</f>
        <v>1.7843435756282882E-3</v>
      </c>
      <c r="G30">
        <v>319.20000000000005</v>
      </c>
    </row>
    <row r="31" spans="1:7" x14ac:dyDescent="0.25">
      <c r="E31">
        <f>D31*2.98</f>
        <v>0</v>
      </c>
    </row>
    <row r="33" spans="1:7" x14ac:dyDescent="0.25">
      <c r="A33" t="s">
        <v>7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E35">
        <f t="shared" ref="E35:E46" si="6">D35*2.98</f>
        <v>0</v>
      </c>
      <c r="F35" t="e">
        <f>E35^(-1/0.88)</f>
        <v>#DIV/0!</v>
      </c>
      <c r="G35">
        <v>95.76</v>
      </c>
    </row>
    <row r="36" spans="1:7" x14ac:dyDescent="0.25">
      <c r="B36">
        <v>26</v>
      </c>
      <c r="C36">
        <f t="shared" ref="C36:C46" si="7">B36*3.99</f>
        <v>103.74000000000001</v>
      </c>
      <c r="D36">
        <v>214</v>
      </c>
      <c r="E36">
        <f t="shared" si="6"/>
        <v>637.72</v>
      </c>
      <c r="F36">
        <f>E36^(-1/0.88)</f>
        <v>6.5001055972464783E-4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D37">
        <v>145</v>
      </c>
      <c r="E37">
        <f t="shared" si="6"/>
        <v>432.1</v>
      </c>
      <c r="F37">
        <f>E37^(-1/0.88)</f>
        <v>1.0116211001847625E-3</v>
      </c>
      <c r="G37">
        <v>111.72</v>
      </c>
    </row>
    <row r="38" spans="1:7" x14ac:dyDescent="0.25">
      <c r="B38">
        <v>30</v>
      </c>
      <c r="C38">
        <f t="shared" si="7"/>
        <v>119.7</v>
      </c>
      <c r="D38">
        <v>141</v>
      </c>
      <c r="E38">
        <f t="shared" si="6"/>
        <v>420.18</v>
      </c>
      <c r="F38">
        <f t="shared" ref="F38:F44" si="8">E38^(-1/0.88)</f>
        <v>1.0442955696210426E-3</v>
      </c>
      <c r="G38">
        <v>119.7</v>
      </c>
    </row>
    <row r="39" spans="1:7" x14ac:dyDescent="0.25">
      <c r="B39">
        <v>32</v>
      </c>
      <c r="C39">
        <f t="shared" si="7"/>
        <v>127.68</v>
      </c>
      <c r="D39">
        <v>116</v>
      </c>
      <c r="E39">
        <f t="shared" si="6"/>
        <v>345.68</v>
      </c>
      <c r="F39">
        <f t="shared" si="8"/>
        <v>1.3035956241437261E-3</v>
      </c>
      <c r="G39">
        <v>127.68</v>
      </c>
    </row>
    <row r="40" spans="1:7" x14ac:dyDescent="0.25">
      <c r="B40">
        <v>34</v>
      </c>
      <c r="C40">
        <f t="shared" si="7"/>
        <v>135.66</v>
      </c>
      <c r="D40">
        <v>115</v>
      </c>
      <c r="E40">
        <f t="shared" si="6"/>
        <v>342.7</v>
      </c>
      <c r="F40">
        <f t="shared" si="8"/>
        <v>1.316484621969535E-3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D41">
        <v>114</v>
      </c>
      <c r="E41">
        <f t="shared" si="6"/>
        <v>339.71999999999997</v>
      </c>
      <c r="F41">
        <f t="shared" si="8"/>
        <v>1.3296153039165969E-3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D42">
        <v>108</v>
      </c>
      <c r="E42">
        <f t="shared" si="6"/>
        <v>321.83999999999997</v>
      </c>
      <c r="F42">
        <f t="shared" si="8"/>
        <v>1.4138686623479033E-3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D43">
        <v>105</v>
      </c>
      <c r="E43">
        <f t="shared" si="6"/>
        <v>312.89999999999998</v>
      </c>
      <c r="F43">
        <f t="shared" si="8"/>
        <v>1.4598621881382113E-3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D44">
        <v>100</v>
      </c>
      <c r="E44">
        <f t="shared" si="6"/>
        <v>298</v>
      </c>
      <c r="F44">
        <f t="shared" si="8"/>
        <v>1.5430876982370939E-3</v>
      </c>
      <c r="G44">
        <v>199.5</v>
      </c>
    </row>
    <row r="45" spans="1:7" x14ac:dyDescent="0.25">
      <c r="B45">
        <v>60</v>
      </c>
      <c r="C45">
        <f t="shared" si="7"/>
        <v>239.4</v>
      </c>
      <c r="D45">
        <v>95</v>
      </c>
      <c r="E45">
        <f t="shared" si="6"/>
        <v>283.10000000000002</v>
      </c>
      <c r="F45">
        <f>E45^(-1/0.88)</f>
        <v>1.6357039178369838E-3</v>
      </c>
      <c r="G45">
        <v>239.4</v>
      </c>
    </row>
    <row r="46" spans="1:7" x14ac:dyDescent="0.25">
      <c r="B46">
        <v>80</v>
      </c>
      <c r="C46">
        <f t="shared" si="7"/>
        <v>319.20000000000005</v>
      </c>
      <c r="E46">
        <f t="shared" si="6"/>
        <v>0</v>
      </c>
      <c r="F46" t="e">
        <f>E46^(-1/0.88)</f>
        <v>#DIV/0!</v>
      </c>
      <c r="G46">
        <v>319.20000000000005</v>
      </c>
    </row>
    <row r="49" spans="1:7" x14ac:dyDescent="0.25">
      <c r="A49" t="s">
        <v>8</v>
      </c>
    </row>
    <row r="50" spans="1:7" x14ac:dyDescent="0.25">
      <c r="B50" t="s">
        <v>0</v>
      </c>
      <c r="C50" t="s">
        <v>4</v>
      </c>
      <c r="D50" t="s">
        <v>1</v>
      </c>
      <c r="E50" t="s">
        <v>2</v>
      </c>
      <c r="F50" t="s">
        <v>3</v>
      </c>
    </row>
    <row r="51" spans="1:7" x14ac:dyDescent="0.25">
      <c r="B51">
        <v>24</v>
      </c>
      <c r="C51">
        <f>B51*3.99</f>
        <v>95.76</v>
      </c>
      <c r="E51">
        <f t="shared" ref="E51:E62" si="9">D51*2.98</f>
        <v>0</v>
      </c>
      <c r="F51" t="e">
        <f>E51^(-1/0.88)</f>
        <v>#DIV/0!</v>
      </c>
      <c r="G51">
        <v>95.76</v>
      </c>
    </row>
    <row r="52" spans="1:7" x14ac:dyDescent="0.25">
      <c r="B52">
        <v>26</v>
      </c>
      <c r="C52">
        <f t="shared" ref="C52:C62" si="10">B52*3.99</f>
        <v>103.74000000000001</v>
      </c>
      <c r="D52">
        <v>188</v>
      </c>
      <c r="E52">
        <f t="shared" si="9"/>
        <v>560.24</v>
      </c>
      <c r="F52">
        <f>E52^(-1/0.88)</f>
        <v>7.5309124448194283E-4</v>
      </c>
      <c r="G52">
        <v>103.74000000000001</v>
      </c>
    </row>
    <row r="53" spans="1:7" x14ac:dyDescent="0.25">
      <c r="B53">
        <v>28</v>
      </c>
      <c r="C53">
        <f t="shared" si="10"/>
        <v>111.72</v>
      </c>
      <c r="D53">
        <v>181</v>
      </c>
      <c r="E53">
        <f t="shared" si="9"/>
        <v>539.38</v>
      </c>
      <c r="F53">
        <f>E53^(-1/0.88)</f>
        <v>7.8627423847093473E-4</v>
      </c>
      <c r="G53">
        <v>111.72</v>
      </c>
    </row>
    <row r="54" spans="1:7" x14ac:dyDescent="0.25">
      <c r="B54">
        <v>30</v>
      </c>
      <c r="C54">
        <f t="shared" si="10"/>
        <v>119.7</v>
      </c>
      <c r="D54">
        <v>152</v>
      </c>
      <c r="E54">
        <f t="shared" si="9"/>
        <v>452.96</v>
      </c>
      <c r="F54">
        <f t="shared" ref="F54:F60" si="11">E54^(-1/0.88)</f>
        <v>9.5884888630921763E-4</v>
      </c>
      <c r="G54">
        <v>119.7</v>
      </c>
    </row>
    <row r="55" spans="1:7" x14ac:dyDescent="0.25">
      <c r="B55">
        <v>32</v>
      </c>
      <c r="C55">
        <f t="shared" si="10"/>
        <v>127.68</v>
      </c>
      <c r="D55">
        <v>152</v>
      </c>
      <c r="E55">
        <f t="shared" si="9"/>
        <v>452.96</v>
      </c>
      <c r="F55">
        <f t="shared" si="11"/>
        <v>9.5884888630921763E-4</v>
      </c>
      <c r="G55">
        <v>127.68</v>
      </c>
    </row>
    <row r="56" spans="1:7" x14ac:dyDescent="0.25">
      <c r="B56">
        <v>34</v>
      </c>
      <c r="C56">
        <f t="shared" si="10"/>
        <v>135.66</v>
      </c>
      <c r="D56">
        <v>148</v>
      </c>
      <c r="E56">
        <f t="shared" si="9"/>
        <v>441.04</v>
      </c>
      <c r="F56">
        <f t="shared" si="11"/>
        <v>9.8835141179445547E-4</v>
      </c>
      <c r="G56">
        <v>135.66</v>
      </c>
    </row>
    <row r="57" spans="1:7" x14ac:dyDescent="0.25">
      <c r="B57">
        <v>36</v>
      </c>
      <c r="C57">
        <f t="shared" si="10"/>
        <v>143.64000000000001</v>
      </c>
      <c r="D57">
        <v>148</v>
      </c>
      <c r="E57">
        <f t="shared" si="9"/>
        <v>441.04</v>
      </c>
      <c r="F57">
        <f t="shared" si="11"/>
        <v>9.8835141179445547E-4</v>
      </c>
      <c r="G57">
        <v>143.64000000000001</v>
      </c>
    </row>
    <row r="58" spans="1:7" x14ac:dyDescent="0.25">
      <c r="B58">
        <v>38</v>
      </c>
      <c r="C58">
        <f t="shared" si="10"/>
        <v>151.62</v>
      </c>
      <c r="D58">
        <v>148</v>
      </c>
      <c r="E58">
        <f t="shared" si="9"/>
        <v>441.04</v>
      </c>
      <c r="F58">
        <f t="shared" si="11"/>
        <v>9.8835141179445547E-4</v>
      </c>
      <c r="G58">
        <v>151.62</v>
      </c>
    </row>
    <row r="59" spans="1:7" x14ac:dyDescent="0.25">
      <c r="B59">
        <v>40</v>
      </c>
      <c r="C59">
        <f t="shared" si="10"/>
        <v>159.60000000000002</v>
      </c>
      <c r="D59">
        <v>125</v>
      </c>
      <c r="E59">
        <f t="shared" si="9"/>
        <v>372.5</v>
      </c>
      <c r="F59">
        <f t="shared" si="11"/>
        <v>1.1974726257596542E-3</v>
      </c>
      <c r="G59">
        <v>159.60000000000002</v>
      </c>
    </row>
    <row r="60" spans="1:7" x14ac:dyDescent="0.25">
      <c r="B60">
        <v>50</v>
      </c>
      <c r="C60">
        <f t="shared" si="10"/>
        <v>199.5</v>
      </c>
      <c r="D60">
        <v>125</v>
      </c>
      <c r="E60">
        <f t="shared" si="9"/>
        <v>372.5</v>
      </c>
      <c r="F60">
        <f t="shared" si="11"/>
        <v>1.1974726257596542E-3</v>
      </c>
      <c r="G60">
        <v>199.5</v>
      </c>
    </row>
    <row r="61" spans="1:7" x14ac:dyDescent="0.25">
      <c r="B61">
        <v>60</v>
      </c>
      <c r="C61">
        <f t="shared" si="10"/>
        <v>239.4</v>
      </c>
      <c r="D61">
        <v>124</v>
      </c>
      <c r="E61">
        <f t="shared" si="9"/>
        <v>369.52</v>
      </c>
      <c r="F61">
        <f>E61^(-1/0.88)</f>
        <v>1.2084525518704971E-3</v>
      </c>
      <c r="G61">
        <v>239.4</v>
      </c>
    </row>
    <row r="62" spans="1:7" x14ac:dyDescent="0.25">
      <c r="B62">
        <v>80</v>
      </c>
      <c r="C62">
        <f t="shared" si="10"/>
        <v>319.20000000000005</v>
      </c>
      <c r="D62">
        <v>123</v>
      </c>
      <c r="E62">
        <f t="shared" si="9"/>
        <v>366.54</v>
      </c>
      <c r="F62">
        <f>E62^(-1/0.88)</f>
        <v>1.2196232915589369E-3</v>
      </c>
      <c r="G62">
        <v>319.20000000000005</v>
      </c>
    </row>
    <row r="65" spans="1:7" x14ac:dyDescent="0.25">
      <c r="A65" t="s">
        <v>9</v>
      </c>
    </row>
    <row r="66" spans="1:7" x14ac:dyDescent="0.25">
      <c r="B66" t="s">
        <v>0</v>
      </c>
      <c r="C66" t="s">
        <v>4</v>
      </c>
      <c r="D66" t="s">
        <v>1</v>
      </c>
      <c r="E66" t="s">
        <v>2</v>
      </c>
      <c r="F66" t="s">
        <v>3</v>
      </c>
    </row>
    <row r="67" spans="1:7" x14ac:dyDescent="0.25">
      <c r="B67">
        <v>24</v>
      </c>
      <c r="C67">
        <f>B67*3.99</f>
        <v>95.76</v>
      </c>
      <c r="E67">
        <f t="shared" ref="E67:E78" si="12">D67*2.98</f>
        <v>0</v>
      </c>
      <c r="F67" t="e">
        <f>E67^(-1/0.88)</f>
        <v>#DIV/0!</v>
      </c>
      <c r="G67">
        <v>95.76</v>
      </c>
    </row>
    <row r="68" spans="1:7" x14ac:dyDescent="0.25">
      <c r="B68">
        <v>26</v>
      </c>
      <c r="C68">
        <f t="shared" ref="C68:C78" si="13">B68*3.99</f>
        <v>103.74000000000001</v>
      </c>
      <c r="E68">
        <f t="shared" si="12"/>
        <v>0</v>
      </c>
      <c r="F68" t="e">
        <f>E68^(-1/0.88)</f>
        <v>#DIV/0!</v>
      </c>
      <c r="G68">
        <v>103.74000000000001</v>
      </c>
    </row>
    <row r="69" spans="1:7" x14ac:dyDescent="0.25">
      <c r="B69">
        <v>28</v>
      </c>
      <c r="C69">
        <f t="shared" si="13"/>
        <v>111.72</v>
      </c>
      <c r="D69">
        <v>411</v>
      </c>
      <c r="E69">
        <f t="shared" si="12"/>
        <v>1224.78</v>
      </c>
      <c r="F69">
        <f>E69^(-1/0.88)</f>
        <v>3.096300366273223E-4</v>
      </c>
      <c r="G69">
        <v>111.72</v>
      </c>
    </row>
    <row r="70" spans="1:7" x14ac:dyDescent="0.25">
      <c r="B70">
        <v>30</v>
      </c>
      <c r="C70">
        <f t="shared" si="13"/>
        <v>119.7</v>
      </c>
      <c r="D70">
        <v>399</v>
      </c>
      <c r="E70">
        <f t="shared" si="12"/>
        <v>1189.02</v>
      </c>
      <c r="F70">
        <f t="shared" ref="F70:F76" si="14">E70^(-1/0.88)</f>
        <v>3.2023357513270286E-4</v>
      </c>
      <c r="G70">
        <v>119.7</v>
      </c>
    </row>
    <row r="71" spans="1:7" x14ac:dyDescent="0.25">
      <c r="B71">
        <v>32</v>
      </c>
      <c r="C71">
        <f t="shared" si="13"/>
        <v>127.68</v>
      </c>
      <c r="D71">
        <v>183</v>
      </c>
      <c r="E71">
        <f t="shared" si="12"/>
        <v>545.34</v>
      </c>
      <c r="F71">
        <f t="shared" si="14"/>
        <v>7.7651658213313368E-4</v>
      </c>
      <c r="G71">
        <v>127.68</v>
      </c>
    </row>
    <row r="72" spans="1:7" x14ac:dyDescent="0.25">
      <c r="B72">
        <v>34</v>
      </c>
      <c r="C72">
        <f t="shared" si="13"/>
        <v>135.66</v>
      </c>
      <c r="D72">
        <v>102</v>
      </c>
      <c r="E72">
        <f t="shared" si="12"/>
        <v>303.95999999999998</v>
      </c>
      <c r="F72">
        <f t="shared" si="14"/>
        <v>1.5087514015687832E-3</v>
      </c>
      <c r="G72">
        <v>135.66</v>
      </c>
    </row>
    <row r="73" spans="1:7" x14ac:dyDescent="0.25">
      <c r="B73">
        <v>36</v>
      </c>
      <c r="C73">
        <f t="shared" si="13"/>
        <v>143.64000000000001</v>
      </c>
      <c r="D73">
        <v>62</v>
      </c>
      <c r="E73">
        <f t="shared" si="12"/>
        <v>184.76</v>
      </c>
      <c r="F73">
        <f t="shared" si="14"/>
        <v>2.6564958614843717E-3</v>
      </c>
      <c r="G73">
        <v>143.64000000000001</v>
      </c>
    </row>
    <row r="74" spans="1:7" x14ac:dyDescent="0.25">
      <c r="B74">
        <v>38</v>
      </c>
      <c r="C74">
        <f t="shared" si="13"/>
        <v>151.62</v>
      </c>
      <c r="D74">
        <v>55</v>
      </c>
      <c r="E74">
        <f t="shared" si="12"/>
        <v>163.9</v>
      </c>
      <c r="F74">
        <f t="shared" si="14"/>
        <v>3.0439184099768663E-3</v>
      </c>
      <c r="G74">
        <v>151.62</v>
      </c>
    </row>
    <row r="75" spans="1:7" x14ac:dyDescent="0.25">
      <c r="B75">
        <v>40</v>
      </c>
      <c r="C75">
        <f t="shared" si="13"/>
        <v>159.60000000000002</v>
      </c>
      <c r="D75">
        <v>54</v>
      </c>
      <c r="E75">
        <f t="shared" si="12"/>
        <v>160.91999999999999</v>
      </c>
      <c r="F75">
        <f t="shared" si="14"/>
        <v>3.10805438276914E-3</v>
      </c>
      <c r="G75">
        <v>159.60000000000002</v>
      </c>
    </row>
    <row r="76" spans="1:7" x14ac:dyDescent="0.25">
      <c r="B76">
        <v>50</v>
      </c>
      <c r="C76">
        <f t="shared" si="13"/>
        <v>199.5</v>
      </c>
      <c r="D76">
        <v>28</v>
      </c>
      <c r="E76">
        <f t="shared" si="12"/>
        <v>83.44</v>
      </c>
      <c r="F76">
        <f t="shared" si="14"/>
        <v>6.5557158127675817E-3</v>
      </c>
      <c r="G76">
        <v>199.5</v>
      </c>
    </row>
    <row r="77" spans="1:7" x14ac:dyDescent="0.25">
      <c r="B77">
        <v>60</v>
      </c>
      <c r="C77">
        <f t="shared" si="13"/>
        <v>239.4</v>
      </c>
      <c r="D77">
        <v>28</v>
      </c>
      <c r="E77">
        <f t="shared" si="12"/>
        <v>83.44</v>
      </c>
      <c r="F77">
        <f>E77^(-1/0.88)</f>
        <v>6.5557158127675817E-3</v>
      </c>
      <c r="G77">
        <v>239.4</v>
      </c>
    </row>
    <row r="78" spans="1:7" x14ac:dyDescent="0.25">
      <c r="B78">
        <v>80</v>
      </c>
      <c r="C78">
        <f t="shared" si="13"/>
        <v>319.20000000000005</v>
      </c>
      <c r="E78">
        <f t="shared" si="12"/>
        <v>0</v>
      </c>
      <c r="F78" t="e">
        <f>E78^(-1/0.88)</f>
        <v>#DIV/0!</v>
      </c>
      <c r="G78">
        <v>319.20000000000005</v>
      </c>
    </row>
    <row r="81" spans="1:7" x14ac:dyDescent="0.25">
      <c r="A81" t="s">
        <v>10</v>
      </c>
    </row>
    <row r="82" spans="1:7" x14ac:dyDescent="0.25">
      <c r="B82" t="s">
        <v>0</v>
      </c>
      <c r="C82" t="s">
        <v>4</v>
      </c>
      <c r="D82" t="s">
        <v>1</v>
      </c>
      <c r="E82" t="s">
        <v>2</v>
      </c>
      <c r="F82" t="s">
        <v>3</v>
      </c>
    </row>
    <row r="83" spans="1:7" x14ac:dyDescent="0.25">
      <c r="B83">
        <v>24</v>
      </c>
      <c r="C83">
        <f>B83*3.99</f>
        <v>95.76</v>
      </c>
      <c r="E83">
        <f t="shared" ref="E83:E94" si="15">D83*2.98</f>
        <v>0</v>
      </c>
      <c r="F83" t="e">
        <f>E83^(-1/0.88)</f>
        <v>#DIV/0!</v>
      </c>
      <c r="G83">
        <v>95.76</v>
      </c>
    </row>
    <row r="84" spans="1:7" x14ac:dyDescent="0.25">
      <c r="B84">
        <v>26</v>
      </c>
      <c r="C84">
        <f t="shared" ref="C84:C94" si="16">B84*3.99</f>
        <v>103.74000000000001</v>
      </c>
      <c r="E84">
        <f t="shared" si="15"/>
        <v>0</v>
      </c>
      <c r="F84" t="e">
        <f>E84^(-1/0.88)</f>
        <v>#DIV/0!</v>
      </c>
      <c r="G84">
        <v>103.74000000000001</v>
      </c>
    </row>
    <row r="85" spans="1:7" x14ac:dyDescent="0.25">
      <c r="B85">
        <v>28</v>
      </c>
      <c r="C85">
        <f t="shared" si="16"/>
        <v>111.72</v>
      </c>
      <c r="D85">
        <v>27</v>
      </c>
      <c r="E85">
        <f t="shared" si="15"/>
        <v>80.459999999999994</v>
      </c>
      <c r="F85">
        <f>E85^(-1/0.88)</f>
        <v>6.8323192270269553E-3</v>
      </c>
      <c r="G85">
        <v>111.72</v>
      </c>
    </row>
    <row r="86" spans="1:7" x14ac:dyDescent="0.25">
      <c r="B86">
        <v>30</v>
      </c>
      <c r="C86">
        <f t="shared" si="16"/>
        <v>119.7</v>
      </c>
      <c r="D86">
        <v>27</v>
      </c>
      <c r="E86">
        <f t="shared" si="15"/>
        <v>80.459999999999994</v>
      </c>
      <c r="F86">
        <f t="shared" ref="F86:F92" si="17">E86^(-1/0.88)</f>
        <v>6.8323192270269553E-3</v>
      </c>
      <c r="G86">
        <v>119.7</v>
      </c>
    </row>
    <row r="87" spans="1:7" x14ac:dyDescent="0.25">
      <c r="B87">
        <v>32</v>
      </c>
      <c r="C87">
        <f t="shared" si="16"/>
        <v>127.68</v>
      </c>
      <c r="D87">
        <v>25</v>
      </c>
      <c r="E87">
        <f t="shared" si="15"/>
        <v>74.5</v>
      </c>
      <c r="F87">
        <f t="shared" si="17"/>
        <v>7.4567518401223581E-3</v>
      </c>
      <c r="G87">
        <v>127.68</v>
      </c>
    </row>
    <row r="88" spans="1:7" x14ac:dyDescent="0.25">
      <c r="B88">
        <v>34</v>
      </c>
      <c r="C88">
        <f t="shared" si="16"/>
        <v>135.66</v>
      </c>
      <c r="D88">
        <v>25</v>
      </c>
      <c r="E88">
        <f t="shared" si="15"/>
        <v>74.5</v>
      </c>
      <c r="F88">
        <f t="shared" si="17"/>
        <v>7.4567518401223581E-3</v>
      </c>
      <c r="G88">
        <v>135.66</v>
      </c>
    </row>
    <row r="89" spans="1:7" x14ac:dyDescent="0.25">
      <c r="B89">
        <v>36</v>
      </c>
      <c r="C89">
        <f t="shared" si="16"/>
        <v>143.64000000000001</v>
      </c>
      <c r="D89">
        <v>23</v>
      </c>
      <c r="E89">
        <f t="shared" si="15"/>
        <v>68.540000000000006</v>
      </c>
      <c r="F89">
        <f t="shared" si="17"/>
        <v>8.1978484653347193E-3</v>
      </c>
      <c r="G89">
        <v>143.64000000000001</v>
      </c>
    </row>
    <row r="90" spans="1:7" x14ac:dyDescent="0.25">
      <c r="B90">
        <v>38</v>
      </c>
      <c r="C90">
        <f t="shared" si="16"/>
        <v>151.62</v>
      </c>
      <c r="D90">
        <v>23</v>
      </c>
      <c r="E90">
        <f t="shared" si="15"/>
        <v>68.540000000000006</v>
      </c>
      <c r="F90">
        <f t="shared" si="17"/>
        <v>8.1978484653347193E-3</v>
      </c>
      <c r="G90">
        <v>151.62</v>
      </c>
    </row>
    <row r="91" spans="1:7" x14ac:dyDescent="0.25">
      <c r="B91">
        <v>40</v>
      </c>
      <c r="C91">
        <f t="shared" si="16"/>
        <v>159.60000000000002</v>
      </c>
      <c r="D91">
        <v>21</v>
      </c>
      <c r="E91">
        <f t="shared" si="15"/>
        <v>62.58</v>
      </c>
      <c r="F91">
        <f t="shared" si="17"/>
        <v>9.0906713218758557E-3</v>
      </c>
      <c r="G91">
        <v>159.60000000000002</v>
      </c>
    </row>
    <row r="92" spans="1:7" x14ac:dyDescent="0.25">
      <c r="B92">
        <v>50</v>
      </c>
      <c r="C92">
        <f t="shared" si="16"/>
        <v>199.5</v>
      </c>
      <c r="D92">
        <v>13</v>
      </c>
      <c r="E92">
        <f t="shared" si="15"/>
        <v>38.74</v>
      </c>
      <c r="F92">
        <f t="shared" si="17"/>
        <v>1.5677368375515564E-2</v>
      </c>
      <c r="G92">
        <v>199.5</v>
      </c>
    </row>
    <row r="93" spans="1:7" x14ac:dyDescent="0.25">
      <c r="B93">
        <v>60</v>
      </c>
      <c r="C93">
        <f t="shared" si="16"/>
        <v>239.4</v>
      </c>
      <c r="D93">
        <v>8</v>
      </c>
      <c r="E93">
        <f t="shared" si="15"/>
        <v>23.84</v>
      </c>
      <c r="F93">
        <f>E93^(-1/0.88)</f>
        <v>2.7219444648087589E-2</v>
      </c>
      <c r="G93">
        <v>239.4</v>
      </c>
    </row>
    <row r="94" spans="1:7" x14ac:dyDescent="0.25">
      <c r="B94">
        <v>80</v>
      </c>
      <c r="C94">
        <f t="shared" si="16"/>
        <v>319.20000000000005</v>
      </c>
      <c r="D94">
        <v>6</v>
      </c>
      <c r="E94">
        <f t="shared" si="15"/>
        <v>17.88</v>
      </c>
      <c r="F94">
        <f>E94^(-1/0.88)</f>
        <v>3.774462345940157E-2</v>
      </c>
      <c r="G94">
        <v>319.20000000000005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3"/>
  <sheetViews>
    <sheetView workbookViewId="0">
      <selection sqref="A1:G14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5.28515625" bestFit="1" customWidth="1"/>
    <col min="17" max="17" width="16.5703125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E3">
        <f t="shared" ref="E3:E14" si="0">D3*2.98</f>
        <v>0</v>
      </c>
      <c r="F3" t="e">
        <f>E3^(-1/0.88)</f>
        <v>#DIV/0!</v>
      </c>
      <c r="G3">
        <v>95.76</v>
      </c>
      <c r="P3" t="s">
        <v>16</v>
      </c>
      <c r="Q3">
        <v>35.450000000000003</v>
      </c>
    </row>
    <row r="4" spans="1:17" x14ac:dyDescent="0.25">
      <c r="B4">
        <v>26</v>
      </c>
      <c r="C4">
        <f t="shared" ref="C4:C14" si="1">B4*3.99</f>
        <v>103.74000000000001</v>
      </c>
      <c r="D4">
        <v>67</v>
      </c>
      <c r="E4">
        <f t="shared" si="0"/>
        <v>199.66</v>
      </c>
      <c r="F4">
        <f>E4^(-1/0.88)</f>
        <v>2.4323881482810543E-3</v>
      </c>
      <c r="G4">
        <v>103.74000000000001</v>
      </c>
      <c r="P4" t="s">
        <v>17</v>
      </c>
      <c r="Q4">
        <v>55.192999999999998</v>
      </c>
    </row>
    <row r="5" spans="1:17" x14ac:dyDescent="0.25">
      <c r="B5">
        <v>28</v>
      </c>
      <c r="C5">
        <f t="shared" si="1"/>
        <v>111.72</v>
      </c>
      <c r="D5">
        <v>67</v>
      </c>
      <c r="E5">
        <f t="shared" si="0"/>
        <v>199.66</v>
      </c>
      <c r="F5">
        <f>E5^(-1/0.88)</f>
        <v>2.4323881482810543E-3</v>
      </c>
      <c r="G5">
        <v>111.72</v>
      </c>
      <c r="P5" t="s">
        <v>18</v>
      </c>
    </row>
    <row r="6" spans="1:17" x14ac:dyDescent="0.25">
      <c r="B6">
        <v>30</v>
      </c>
      <c r="C6">
        <f t="shared" si="1"/>
        <v>119.7</v>
      </c>
      <c r="D6">
        <v>49</v>
      </c>
      <c r="E6">
        <f t="shared" si="0"/>
        <v>146.02000000000001</v>
      </c>
      <c r="F6">
        <f t="shared" ref="F6:F12" si="2">E6^(-1/0.88)</f>
        <v>3.4708873458777541E-3</v>
      </c>
      <c r="G6">
        <v>119.7</v>
      </c>
      <c r="P6" t="s">
        <v>19</v>
      </c>
      <c r="Q6">
        <v>91.68</v>
      </c>
    </row>
    <row r="7" spans="1:17" x14ac:dyDescent="0.25">
      <c r="B7">
        <v>32</v>
      </c>
      <c r="C7">
        <f t="shared" si="1"/>
        <v>127.68</v>
      </c>
      <c r="D7">
        <v>46</v>
      </c>
      <c r="E7">
        <f t="shared" si="0"/>
        <v>137.08000000000001</v>
      </c>
      <c r="F7">
        <f t="shared" si="2"/>
        <v>3.7292401021267918E-3</v>
      </c>
      <c r="G7">
        <v>127.68</v>
      </c>
      <c r="P7" t="s">
        <v>20</v>
      </c>
      <c r="Q7">
        <v>84.15</v>
      </c>
    </row>
    <row r="8" spans="1:17" x14ac:dyDescent="0.25">
      <c r="B8">
        <v>34</v>
      </c>
      <c r="C8">
        <f t="shared" si="1"/>
        <v>135.66</v>
      </c>
      <c r="D8">
        <v>45</v>
      </c>
      <c r="E8">
        <f t="shared" si="0"/>
        <v>134.1</v>
      </c>
      <c r="F8">
        <f t="shared" si="2"/>
        <v>3.8235546144592112E-3</v>
      </c>
      <c r="G8">
        <v>135.66</v>
      </c>
      <c r="P8" t="s">
        <v>21</v>
      </c>
      <c r="Q8">
        <v>134.54</v>
      </c>
    </row>
    <row r="9" spans="1:17" x14ac:dyDescent="0.25">
      <c r="B9">
        <v>36</v>
      </c>
      <c r="C9">
        <f t="shared" si="1"/>
        <v>143.64000000000001</v>
      </c>
      <c r="D9">
        <v>42</v>
      </c>
      <c r="E9">
        <f t="shared" si="0"/>
        <v>125.16</v>
      </c>
      <c r="F9">
        <f t="shared" si="2"/>
        <v>4.1353894490911668E-3</v>
      </c>
      <c r="G9">
        <v>143.64000000000001</v>
      </c>
      <c r="P9" t="s">
        <v>22</v>
      </c>
      <c r="Q9">
        <f>AVERAGE(Q3:Q8)</f>
        <v>80.202600000000004</v>
      </c>
    </row>
    <row r="10" spans="1:17" x14ac:dyDescent="0.25">
      <c r="B10">
        <v>38</v>
      </c>
      <c r="C10">
        <f t="shared" si="1"/>
        <v>151.62</v>
      </c>
      <c r="D10">
        <v>30</v>
      </c>
      <c r="E10">
        <f t="shared" si="0"/>
        <v>89.4</v>
      </c>
      <c r="F10">
        <f t="shared" si="2"/>
        <v>6.0613728780730567E-3</v>
      </c>
      <c r="G10">
        <v>151.62</v>
      </c>
      <c r="P10" t="s">
        <v>23</v>
      </c>
      <c r="Q10">
        <f>STDEV(Q3:Q8)</f>
        <v>37.842241659288618</v>
      </c>
    </row>
    <row r="11" spans="1:17" x14ac:dyDescent="0.25">
      <c r="B11">
        <v>40</v>
      </c>
      <c r="C11">
        <f t="shared" si="1"/>
        <v>159.60000000000002</v>
      </c>
      <c r="D11">
        <v>29</v>
      </c>
      <c r="E11">
        <f t="shared" si="0"/>
        <v>86.42</v>
      </c>
      <c r="F11">
        <f t="shared" si="2"/>
        <v>6.299440453199451E-3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D12">
        <v>25</v>
      </c>
      <c r="E12">
        <f t="shared" si="0"/>
        <v>74.5</v>
      </c>
      <c r="F12">
        <f t="shared" si="2"/>
        <v>7.4567518401223581E-3</v>
      </c>
      <c r="G12">
        <v>199.5</v>
      </c>
    </row>
    <row r="13" spans="1:17" x14ac:dyDescent="0.25">
      <c r="B13">
        <v>60</v>
      </c>
      <c r="C13">
        <f t="shared" si="1"/>
        <v>239.4</v>
      </c>
      <c r="D13">
        <v>22</v>
      </c>
      <c r="E13">
        <f t="shared" si="0"/>
        <v>65.56</v>
      </c>
      <c r="F13">
        <f>E13^(-1/0.88)</f>
        <v>8.6225865556297E-3</v>
      </c>
      <c r="G13">
        <v>239.4</v>
      </c>
    </row>
    <row r="14" spans="1:17" x14ac:dyDescent="0.25">
      <c r="B14">
        <v>80</v>
      </c>
      <c r="C14">
        <f t="shared" si="1"/>
        <v>319.20000000000005</v>
      </c>
      <c r="D14">
        <v>20</v>
      </c>
      <c r="E14">
        <f t="shared" si="0"/>
        <v>59.6</v>
      </c>
      <c r="F14">
        <f>E14^(-1/0.88)</f>
        <v>9.6089228144152165E-3</v>
      </c>
      <c r="G14">
        <v>319.20000000000005</v>
      </c>
    </row>
    <row r="17" spans="1:7" x14ac:dyDescent="0.25">
      <c r="A17" t="s">
        <v>27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E19">
        <f t="shared" ref="E19:E30" si="3">D19*2.98</f>
        <v>0</v>
      </c>
      <c r="F19" t="e">
        <f>E19^(-1/0.88)</f>
        <v>#DIV/0!</v>
      </c>
      <c r="G19">
        <v>95.76</v>
      </c>
    </row>
    <row r="20" spans="1:7" x14ac:dyDescent="0.25">
      <c r="B20">
        <v>26</v>
      </c>
      <c r="C20">
        <f t="shared" ref="C20:C30" si="4">B20*3.99</f>
        <v>103.74000000000001</v>
      </c>
      <c r="D20">
        <v>342</v>
      </c>
      <c r="E20">
        <f t="shared" si="3"/>
        <v>1019.16</v>
      </c>
      <c r="F20">
        <f>E20^(-1/0.88)</f>
        <v>3.8154235959900407E-4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D21">
        <v>308</v>
      </c>
      <c r="E21">
        <f t="shared" si="3"/>
        <v>917.84</v>
      </c>
      <c r="F21">
        <f>E21^(-1/0.88)</f>
        <v>4.2975341875604639E-4</v>
      </c>
      <c r="G21">
        <v>111.72</v>
      </c>
    </row>
    <row r="22" spans="1:7" x14ac:dyDescent="0.25">
      <c r="B22">
        <v>30</v>
      </c>
      <c r="C22">
        <f t="shared" si="4"/>
        <v>119.7</v>
      </c>
      <c r="D22">
        <v>271</v>
      </c>
      <c r="E22">
        <f t="shared" si="3"/>
        <v>807.58</v>
      </c>
      <c r="F22">
        <f t="shared" ref="F22:F28" si="5">E22^(-1/0.88)</f>
        <v>4.9702707969602456E-4</v>
      </c>
      <c r="G22">
        <v>119.7</v>
      </c>
    </row>
    <row r="23" spans="1:7" x14ac:dyDescent="0.25">
      <c r="B23">
        <v>32</v>
      </c>
      <c r="C23">
        <f t="shared" si="4"/>
        <v>127.68</v>
      </c>
      <c r="D23">
        <v>271</v>
      </c>
      <c r="E23">
        <f t="shared" si="3"/>
        <v>807.58</v>
      </c>
      <c r="F23">
        <f t="shared" si="5"/>
        <v>4.9702707969602456E-4</v>
      </c>
      <c r="G23">
        <v>127.68</v>
      </c>
    </row>
    <row r="24" spans="1:7" x14ac:dyDescent="0.25">
      <c r="B24">
        <v>34</v>
      </c>
      <c r="C24">
        <f t="shared" si="4"/>
        <v>135.66</v>
      </c>
      <c r="D24">
        <v>243</v>
      </c>
      <c r="E24">
        <f t="shared" si="3"/>
        <v>724.14</v>
      </c>
      <c r="F24">
        <f t="shared" si="5"/>
        <v>5.6260250525163571E-4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201</v>
      </c>
      <c r="E25">
        <f t="shared" si="3"/>
        <v>598.98</v>
      </c>
      <c r="F25">
        <f t="shared" si="5"/>
        <v>6.9799069762664298E-4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200</v>
      </c>
      <c r="E26">
        <f t="shared" si="3"/>
        <v>596</v>
      </c>
      <c r="F26">
        <f t="shared" si="5"/>
        <v>7.0195790391806693E-4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173</v>
      </c>
      <c r="E27">
        <f t="shared" si="3"/>
        <v>515.54</v>
      </c>
      <c r="F27">
        <f t="shared" si="5"/>
        <v>8.2772042797186758E-4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D28">
        <v>170</v>
      </c>
      <c r="E28">
        <f t="shared" si="3"/>
        <v>506.6</v>
      </c>
      <c r="F28">
        <f t="shared" si="5"/>
        <v>8.4433897068512509E-4</v>
      </c>
      <c r="G28">
        <v>199.5</v>
      </c>
    </row>
    <row r="29" spans="1:7" x14ac:dyDescent="0.25">
      <c r="B29">
        <v>60</v>
      </c>
      <c r="C29">
        <f t="shared" si="4"/>
        <v>239.4</v>
      </c>
      <c r="D29">
        <v>168</v>
      </c>
      <c r="E29">
        <f t="shared" si="3"/>
        <v>500.64</v>
      </c>
      <c r="F29">
        <f>E29^(-1/0.88)</f>
        <v>8.5577054502156385E-4</v>
      </c>
      <c r="G29">
        <v>239.4</v>
      </c>
    </row>
    <row r="30" spans="1:7" x14ac:dyDescent="0.25">
      <c r="B30">
        <v>80</v>
      </c>
      <c r="C30">
        <f t="shared" si="4"/>
        <v>319.20000000000005</v>
      </c>
      <c r="D30">
        <v>55</v>
      </c>
      <c r="E30">
        <f t="shared" si="3"/>
        <v>163.9</v>
      </c>
      <c r="F30">
        <f>E30^(-1/0.88)</f>
        <v>3.0439184099768663E-3</v>
      </c>
      <c r="G30">
        <v>319.20000000000005</v>
      </c>
    </row>
    <row r="33" spans="1:7" x14ac:dyDescent="0.25">
      <c r="A33" t="s">
        <v>28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E35">
        <f t="shared" ref="E35:E46" si="6">D35*2.98</f>
        <v>0</v>
      </c>
      <c r="F35" t="e">
        <f>E35^(-1/0.88)</f>
        <v>#DIV/0!</v>
      </c>
      <c r="G35">
        <v>95.76</v>
      </c>
    </row>
    <row r="36" spans="1:7" x14ac:dyDescent="0.25">
      <c r="B36">
        <v>26</v>
      </c>
      <c r="C36">
        <f t="shared" ref="C36:C46" si="7">B36*3.99</f>
        <v>103.74000000000001</v>
      </c>
      <c r="E36">
        <f t="shared" si="6"/>
        <v>0</v>
      </c>
      <c r="F36" t="e">
        <f>E36^(-1/0.88)</f>
        <v>#DIV/0!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D37">
        <v>124</v>
      </c>
      <c r="E37">
        <f t="shared" si="6"/>
        <v>369.52</v>
      </c>
      <c r="F37">
        <f>E37^(-1/0.88)</f>
        <v>1.2084525518704971E-3</v>
      </c>
      <c r="G37">
        <v>111.72</v>
      </c>
    </row>
    <row r="38" spans="1:7" x14ac:dyDescent="0.25">
      <c r="B38">
        <v>30</v>
      </c>
      <c r="C38">
        <f t="shared" si="7"/>
        <v>119.7</v>
      </c>
      <c r="D38">
        <v>120</v>
      </c>
      <c r="E38">
        <f t="shared" si="6"/>
        <v>357.6</v>
      </c>
      <c r="F38">
        <f t="shared" ref="F38:F44" si="8">E38^(-1/0.88)</f>
        <v>1.2543303201074511E-3</v>
      </c>
      <c r="G38">
        <v>119.7</v>
      </c>
    </row>
    <row r="39" spans="1:7" x14ac:dyDescent="0.25">
      <c r="B39">
        <v>32</v>
      </c>
      <c r="C39">
        <f t="shared" si="7"/>
        <v>127.68</v>
      </c>
      <c r="D39">
        <v>118</v>
      </c>
      <c r="E39">
        <f t="shared" si="6"/>
        <v>351.64</v>
      </c>
      <c r="F39">
        <f t="shared" si="8"/>
        <v>1.2785170080307229E-3</v>
      </c>
      <c r="G39">
        <v>127.68</v>
      </c>
    </row>
    <row r="40" spans="1:7" x14ac:dyDescent="0.25">
      <c r="B40">
        <v>34</v>
      </c>
      <c r="C40">
        <f t="shared" si="7"/>
        <v>135.66</v>
      </c>
      <c r="D40">
        <v>117</v>
      </c>
      <c r="E40">
        <f t="shared" si="6"/>
        <v>348.66</v>
      </c>
      <c r="F40">
        <f t="shared" si="8"/>
        <v>1.290941835523082E-3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D41">
        <v>116</v>
      </c>
      <c r="E41">
        <f t="shared" si="6"/>
        <v>345.68</v>
      </c>
      <c r="F41">
        <f t="shared" si="8"/>
        <v>1.3035956241437261E-3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D42">
        <v>115</v>
      </c>
      <c r="E42">
        <f t="shared" si="6"/>
        <v>342.7</v>
      </c>
      <c r="F42">
        <f t="shared" si="8"/>
        <v>1.316484621969535E-3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D43">
        <v>114</v>
      </c>
      <c r="E43">
        <f t="shared" si="6"/>
        <v>339.71999999999997</v>
      </c>
      <c r="F43">
        <f t="shared" si="8"/>
        <v>1.3296153039165969E-3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D44">
        <v>112</v>
      </c>
      <c r="E44">
        <f t="shared" si="6"/>
        <v>333.76</v>
      </c>
      <c r="F44">
        <f t="shared" si="8"/>
        <v>1.3566288165027698E-3</v>
      </c>
      <c r="G44">
        <v>199.5</v>
      </c>
    </row>
    <row r="45" spans="1:7" x14ac:dyDescent="0.25">
      <c r="B45">
        <v>60</v>
      </c>
      <c r="C45">
        <f t="shared" si="7"/>
        <v>239.4</v>
      </c>
      <c r="D45">
        <v>112</v>
      </c>
      <c r="E45">
        <f t="shared" si="6"/>
        <v>333.76</v>
      </c>
      <c r="F45">
        <f>E45^(-1/0.88)</f>
        <v>1.3566288165027698E-3</v>
      </c>
      <c r="G45">
        <v>239.4</v>
      </c>
    </row>
    <row r="46" spans="1:7" x14ac:dyDescent="0.25">
      <c r="B46">
        <v>80</v>
      </c>
      <c r="C46">
        <f t="shared" si="7"/>
        <v>319.20000000000005</v>
      </c>
      <c r="E46">
        <f t="shared" si="6"/>
        <v>0</v>
      </c>
      <c r="F46" t="e">
        <f>E46^(-1/0.88)</f>
        <v>#DIV/0!</v>
      </c>
      <c r="G46">
        <v>319.20000000000005</v>
      </c>
    </row>
    <row r="49" spans="1:7" x14ac:dyDescent="0.25">
      <c r="A49" t="s">
        <v>29</v>
      </c>
    </row>
    <row r="50" spans="1:7" x14ac:dyDescent="0.25">
      <c r="B50" t="s">
        <v>0</v>
      </c>
      <c r="C50" t="s">
        <v>4</v>
      </c>
      <c r="D50" t="s">
        <v>1</v>
      </c>
      <c r="E50" t="s">
        <v>2</v>
      </c>
      <c r="F50" t="s">
        <v>3</v>
      </c>
    </row>
    <row r="51" spans="1:7" x14ac:dyDescent="0.25">
      <c r="B51">
        <v>24</v>
      </c>
      <c r="C51">
        <f>B51*3.99</f>
        <v>95.76</v>
      </c>
      <c r="E51">
        <f t="shared" ref="E51:E62" si="9">D51*2.98</f>
        <v>0</v>
      </c>
      <c r="F51" t="e">
        <f>E51^(-1/0.88)</f>
        <v>#DIV/0!</v>
      </c>
      <c r="G51">
        <v>95.76</v>
      </c>
    </row>
    <row r="52" spans="1:7" x14ac:dyDescent="0.25">
      <c r="B52">
        <v>26</v>
      </c>
      <c r="C52">
        <f t="shared" ref="C52:C62" si="10">B52*3.99</f>
        <v>103.74000000000001</v>
      </c>
      <c r="E52">
        <f t="shared" si="9"/>
        <v>0</v>
      </c>
      <c r="F52" t="e">
        <f>E52^(-1/0.88)</f>
        <v>#DIV/0!</v>
      </c>
      <c r="G52">
        <v>103.74000000000001</v>
      </c>
    </row>
    <row r="53" spans="1:7" x14ac:dyDescent="0.25">
      <c r="B53">
        <v>28</v>
      </c>
      <c r="C53">
        <f t="shared" si="10"/>
        <v>111.72</v>
      </c>
      <c r="D53">
        <v>243</v>
      </c>
      <c r="E53">
        <f t="shared" si="9"/>
        <v>724.14</v>
      </c>
      <c r="F53">
        <f>E53^(-1/0.88)</f>
        <v>5.6260250525163571E-4</v>
      </c>
      <c r="G53">
        <v>111.72</v>
      </c>
    </row>
    <row r="54" spans="1:7" x14ac:dyDescent="0.25">
      <c r="B54">
        <v>30</v>
      </c>
      <c r="C54">
        <f t="shared" si="10"/>
        <v>119.7</v>
      </c>
      <c r="D54">
        <v>229</v>
      </c>
      <c r="E54">
        <f t="shared" si="9"/>
        <v>682.42</v>
      </c>
      <c r="F54">
        <f t="shared" ref="F54:F60" si="11">E54^(-1/0.88)</f>
        <v>6.018477646035482E-4</v>
      </c>
      <c r="G54">
        <v>119.7</v>
      </c>
    </row>
    <row r="55" spans="1:7" x14ac:dyDescent="0.25">
      <c r="B55">
        <v>32</v>
      </c>
      <c r="C55">
        <f t="shared" si="10"/>
        <v>127.68</v>
      </c>
      <c r="D55">
        <v>228</v>
      </c>
      <c r="E55">
        <f t="shared" si="9"/>
        <v>679.43999999999994</v>
      </c>
      <c r="F55">
        <f t="shared" si="11"/>
        <v>6.0484830046987517E-4</v>
      </c>
      <c r="G55">
        <v>127.68</v>
      </c>
    </row>
    <row r="56" spans="1:7" x14ac:dyDescent="0.25">
      <c r="B56">
        <v>34</v>
      </c>
      <c r="C56">
        <f t="shared" si="10"/>
        <v>135.66</v>
      </c>
      <c r="D56">
        <v>110</v>
      </c>
      <c r="E56">
        <f t="shared" si="9"/>
        <v>327.8</v>
      </c>
      <c r="F56">
        <f t="shared" si="11"/>
        <v>1.3846929044966517E-3</v>
      </c>
      <c r="G56">
        <v>135.66</v>
      </c>
    </row>
    <row r="57" spans="1:7" x14ac:dyDescent="0.25">
      <c r="B57">
        <v>36</v>
      </c>
      <c r="C57">
        <f t="shared" si="10"/>
        <v>143.64000000000001</v>
      </c>
      <c r="D57">
        <v>104</v>
      </c>
      <c r="E57">
        <f t="shared" si="9"/>
        <v>309.92</v>
      </c>
      <c r="F57">
        <f t="shared" si="11"/>
        <v>1.4758239082886936E-3</v>
      </c>
      <c r="G57">
        <v>143.64000000000001</v>
      </c>
    </row>
    <row r="58" spans="1:7" x14ac:dyDescent="0.25">
      <c r="B58">
        <v>38</v>
      </c>
      <c r="C58">
        <f t="shared" si="10"/>
        <v>151.62</v>
      </c>
      <c r="D58">
        <v>89</v>
      </c>
      <c r="E58">
        <f t="shared" si="9"/>
        <v>265.21999999999997</v>
      </c>
      <c r="F58">
        <f t="shared" si="11"/>
        <v>1.7615783538862642E-3</v>
      </c>
      <c r="G58">
        <v>151.62</v>
      </c>
    </row>
    <row r="59" spans="1:7" x14ac:dyDescent="0.25">
      <c r="B59">
        <v>40</v>
      </c>
      <c r="C59">
        <f t="shared" si="10"/>
        <v>159.60000000000002</v>
      </c>
      <c r="D59">
        <v>89</v>
      </c>
      <c r="E59">
        <f t="shared" si="9"/>
        <v>265.21999999999997</v>
      </c>
      <c r="F59">
        <f t="shared" si="11"/>
        <v>1.7615783538862642E-3</v>
      </c>
      <c r="G59">
        <v>159.60000000000002</v>
      </c>
    </row>
    <row r="60" spans="1:7" x14ac:dyDescent="0.25">
      <c r="B60">
        <v>50</v>
      </c>
      <c r="C60">
        <f t="shared" si="10"/>
        <v>199.5</v>
      </c>
      <c r="D60">
        <v>80</v>
      </c>
      <c r="E60">
        <f t="shared" si="9"/>
        <v>238.4</v>
      </c>
      <c r="F60">
        <f t="shared" si="11"/>
        <v>1.9884543439480438E-3</v>
      </c>
      <c r="G60">
        <v>199.5</v>
      </c>
    </row>
    <row r="61" spans="1:7" x14ac:dyDescent="0.25">
      <c r="B61">
        <v>60</v>
      </c>
      <c r="C61">
        <f t="shared" si="10"/>
        <v>239.4</v>
      </c>
      <c r="D61">
        <v>77</v>
      </c>
      <c r="E61">
        <f t="shared" si="9"/>
        <v>229.46</v>
      </c>
      <c r="F61">
        <f>E61^(-1/0.88)</f>
        <v>2.0767222755836167E-3</v>
      </c>
      <c r="G61">
        <v>239.4</v>
      </c>
    </row>
    <row r="62" spans="1:7" x14ac:dyDescent="0.25">
      <c r="B62">
        <v>80</v>
      </c>
      <c r="C62">
        <f t="shared" si="10"/>
        <v>319.20000000000005</v>
      </c>
      <c r="D62">
        <v>60</v>
      </c>
      <c r="E62">
        <f t="shared" si="9"/>
        <v>178.8</v>
      </c>
      <c r="F62">
        <f>E62^(-1/0.88)</f>
        <v>2.7573472364655128E-3</v>
      </c>
      <c r="G62">
        <v>319.20000000000005</v>
      </c>
    </row>
    <row r="65" spans="1:7" x14ac:dyDescent="0.25">
      <c r="A65" t="s">
        <v>30</v>
      </c>
    </row>
    <row r="66" spans="1:7" x14ac:dyDescent="0.25">
      <c r="B66" t="s">
        <v>0</v>
      </c>
      <c r="C66" t="s">
        <v>4</v>
      </c>
      <c r="D66" t="s">
        <v>1</v>
      </c>
      <c r="E66" t="s">
        <v>2</v>
      </c>
      <c r="F66" t="s">
        <v>3</v>
      </c>
    </row>
    <row r="67" spans="1:7" x14ac:dyDescent="0.25">
      <c r="B67">
        <v>24</v>
      </c>
      <c r="C67">
        <f>B67*3.99</f>
        <v>95.76</v>
      </c>
      <c r="E67">
        <f t="shared" ref="E67:E78" si="12">D67*2.98</f>
        <v>0</v>
      </c>
      <c r="F67" t="e">
        <f>E67^(-1/0.88)</f>
        <v>#DIV/0!</v>
      </c>
      <c r="G67">
        <v>95.76</v>
      </c>
    </row>
    <row r="68" spans="1:7" x14ac:dyDescent="0.25">
      <c r="B68">
        <v>26</v>
      </c>
      <c r="C68">
        <f t="shared" ref="C68:C78" si="13">B68*3.99</f>
        <v>103.74000000000001</v>
      </c>
      <c r="E68">
        <f t="shared" si="12"/>
        <v>0</v>
      </c>
      <c r="F68" t="e">
        <f>E68^(-1/0.88)</f>
        <v>#DIV/0!</v>
      </c>
      <c r="G68">
        <v>103.74000000000001</v>
      </c>
    </row>
    <row r="69" spans="1:7" x14ac:dyDescent="0.25">
      <c r="B69">
        <v>28</v>
      </c>
      <c r="C69">
        <f t="shared" si="13"/>
        <v>111.72</v>
      </c>
      <c r="E69">
        <f t="shared" si="12"/>
        <v>0</v>
      </c>
      <c r="F69" t="e">
        <f>E69^(-1/0.88)</f>
        <v>#DIV/0!</v>
      </c>
      <c r="G69">
        <v>111.72</v>
      </c>
    </row>
    <row r="70" spans="1:7" x14ac:dyDescent="0.25">
      <c r="B70">
        <v>30</v>
      </c>
      <c r="C70">
        <f t="shared" si="13"/>
        <v>119.7</v>
      </c>
      <c r="D70">
        <v>95</v>
      </c>
      <c r="E70">
        <f t="shared" si="12"/>
        <v>283.10000000000002</v>
      </c>
      <c r="F70">
        <f t="shared" ref="F70:F76" si="14">E70^(-1/0.88)</f>
        <v>1.6357039178369838E-3</v>
      </c>
      <c r="G70">
        <v>119.7</v>
      </c>
    </row>
    <row r="71" spans="1:7" x14ac:dyDescent="0.25">
      <c r="B71">
        <v>32</v>
      </c>
      <c r="C71">
        <f t="shared" si="13"/>
        <v>127.68</v>
      </c>
      <c r="D71">
        <v>69</v>
      </c>
      <c r="E71">
        <f t="shared" si="12"/>
        <v>205.62</v>
      </c>
      <c r="F71">
        <f t="shared" si="14"/>
        <v>2.3524296372682851E-3</v>
      </c>
      <c r="G71">
        <v>127.68</v>
      </c>
    </row>
    <row r="72" spans="1:7" x14ac:dyDescent="0.25">
      <c r="B72">
        <v>34</v>
      </c>
      <c r="C72">
        <f t="shared" si="13"/>
        <v>135.66</v>
      </c>
      <c r="D72">
        <v>30</v>
      </c>
      <c r="E72">
        <f t="shared" si="12"/>
        <v>89.4</v>
      </c>
      <c r="F72">
        <f t="shared" si="14"/>
        <v>6.0613728780730567E-3</v>
      </c>
      <c r="G72">
        <v>135.66</v>
      </c>
    </row>
    <row r="73" spans="1:7" x14ac:dyDescent="0.25">
      <c r="B73">
        <v>36</v>
      </c>
      <c r="C73">
        <f t="shared" si="13"/>
        <v>143.64000000000001</v>
      </c>
      <c r="D73">
        <v>29</v>
      </c>
      <c r="E73">
        <f t="shared" si="12"/>
        <v>86.42</v>
      </c>
      <c r="F73">
        <f t="shared" si="14"/>
        <v>6.299440453199451E-3</v>
      </c>
      <c r="G73">
        <v>143.64000000000001</v>
      </c>
    </row>
    <row r="74" spans="1:7" x14ac:dyDescent="0.25">
      <c r="B74">
        <v>38</v>
      </c>
      <c r="C74">
        <f t="shared" si="13"/>
        <v>151.62</v>
      </c>
      <c r="D74">
        <v>29</v>
      </c>
      <c r="E74">
        <f t="shared" si="12"/>
        <v>86.42</v>
      </c>
      <c r="F74">
        <f t="shared" si="14"/>
        <v>6.299440453199451E-3</v>
      </c>
      <c r="G74">
        <v>151.62</v>
      </c>
    </row>
    <row r="75" spans="1:7" x14ac:dyDescent="0.25">
      <c r="B75">
        <v>40</v>
      </c>
      <c r="C75">
        <f t="shared" si="13"/>
        <v>159.60000000000002</v>
      </c>
      <c r="D75">
        <v>29</v>
      </c>
      <c r="E75">
        <f t="shared" si="12"/>
        <v>86.42</v>
      </c>
      <c r="F75">
        <f t="shared" si="14"/>
        <v>6.299440453199451E-3</v>
      </c>
      <c r="G75">
        <v>159.60000000000002</v>
      </c>
    </row>
    <row r="76" spans="1:7" x14ac:dyDescent="0.25">
      <c r="B76">
        <v>50</v>
      </c>
      <c r="C76">
        <f t="shared" si="13"/>
        <v>199.5</v>
      </c>
      <c r="D76">
        <v>22</v>
      </c>
      <c r="E76">
        <f t="shared" si="12"/>
        <v>65.56</v>
      </c>
      <c r="F76">
        <f t="shared" si="14"/>
        <v>8.6225865556297E-3</v>
      </c>
      <c r="G76">
        <v>199.5</v>
      </c>
    </row>
    <row r="77" spans="1:7" x14ac:dyDescent="0.25">
      <c r="B77">
        <v>60</v>
      </c>
      <c r="C77">
        <f t="shared" si="13"/>
        <v>239.4</v>
      </c>
      <c r="D77">
        <v>19</v>
      </c>
      <c r="E77">
        <f t="shared" si="12"/>
        <v>56.62</v>
      </c>
      <c r="F77">
        <f>E77^(-1/0.88)</f>
        <v>1.0185650959234835E-2</v>
      </c>
      <c r="G77">
        <v>239.4</v>
      </c>
    </row>
    <row r="78" spans="1:7" x14ac:dyDescent="0.25">
      <c r="B78">
        <v>80</v>
      </c>
      <c r="C78">
        <f t="shared" si="13"/>
        <v>319.20000000000005</v>
      </c>
      <c r="E78">
        <f t="shared" si="12"/>
        <v>0</v>
      </c>
      <c r="F78" t="e">
        <f>E78^(-1/0.88)</f>
        <v>#DIV/0!</v>
      </c>
      <c r="G78">
        <v>319.20000000000005</v>
      </c>
    </row>
    <row r="80" spans="1:7" x14ac:dyDescent="0.25">
      <c r="A80" t="s">
        <v>10</v>
      </c>
    </row>
    <row r="81" spans="2:7" x14ac:dyDescent="0.25">
      <c r="B81" t="s">
        <v>0</v>
      </c>
      <c r="C81" t="s">
        <v>4</v>
      </c>
      <c r="D81" t="s">
        <v>1</v>
      </c>
      <c r="E81" t="s">
        <v>2</v>
      </c>
      <c r="F81" t="s">
        <v>3</v>
      </c>
    </row>
    <row r="82" spans="2:7" x14ac:dyDescent="0.25">
      <c r="B82">
        <v>24</v>
      </c>
      <c r="C82">
        <f>B82*3.99</f>
        <v>95.76</v>
      </c>
      <c r="E82">
        <f t="shared" ref="E82:E93" si="15">D82*2.98</f>
        <v>0</v>
      </c>
      <c r="F82" t="e">
        <f>E82^(-1/0.88)</f>
        <v>#DIV/0!</v>
      </c>
      <c r="G82">
        <v>95.76</v>
      </c>
    </row>
    <row r="83" spans="2:7" x14ac:dyDescent="0.25">
      <c r="B83">
        <v>26</v>
      </c>
      <c r="C83">
        <f t="shared" ref="C83:C93" si="16">B83*3.99</f>
        <v>103.74000000000001</v>
      </c>
      <c r="E83">
        <f t="shared" si="15"/>
        <v>0</v>
      </c>
      <c r="F83" t="e">
        <f>E83^(-1/0.88)</f>
        <v>#DIV/0!</v>
      </c>
      <c r="G83">
        <v>103.74000000000001</v>
      </c>
    </row>
    <row r="84" spans="2:7" x14ac:dyDescent="0.25">
      <c r="B84">
        <v>28</v>
      </c>
      <c r="C84">
        <f t="shared" si="16"/>
        <v>111.72</v>
      </c>
      <c r="E84">
        <f t="shared" si="15"/>
        <v>0</v>
      </c>
      <c r="F84" t="e">
        <f>E84^(-1/0.88)</f>
        <v>#DIV/0!</v>
      </c>
      <c r="G84">
        <v>111.72</v>
      </c>
    </row>
    <row r="85" spans="2:7" x14ac:dyDescent="0.25">
      <c r="B85">
        <v>30</v>
      </c>
      <c r="C85">
        <f t="shared" si="16"/>
        <v>119.7</v>
      </c>
      <c r="D85">
        <v>343</v>
      </c>
      <c r="E85">
        <f t="shared" si="15"/>
        <v>1022.14</v>
      </c>
      <c r="F85">
        <f t="shared" ref="F85:F91" si="17">E85^(-1/0.88)</f>
        <v>3.8027855608536217E-4</v>
      </c>
      <c r="G85">
        <v>119.7</v>
      </c>
    </row>
    <row r="86" spans="2:7" x14ac:dyDescent="0.25">
      <c r="B86">
        <v>32</v>
      </c>
      <c r="C86">
        <f t="shared" si="16"/>
        <v>127.68</v>
      </c>
      <c r="D86">
        <v>306</v>
      </c>
      <c r="E86">
        <f t="shared" si="15"/>
        <v>911.88</v>
      </c>
      <c r="F86">
        <f t="shared" si="17"/>
        <v>4.3294670880154645E-4</v>
      </c>
      <c r="G86">
        <v>127.68</v>
      </c>
    </row>
    <row r="87" spans="2:7" x14ac:dyDescent="0.25">
      <c r="B87">
        <v>34</v>
      </c>
      <c r="C87">
        <f t="shared" si="16"/>
        <v>135.66</v>
      </c>
      <c r="D87">
        <v>305</v>
      </c>
      <c r="E87">
        <f t="shared" si="15"/>
        <v>908.9</v>
      </c>
      <c r="F87">
        <f t="shared" si="17"/>
        <v>4.3456013429150149E-4</v>
      </c>
      <c r="G87">
        <v>135.66</v>
      </c>
    </row>
    <row r="88" spans="2:7" x14ac:dyDescent="0.25">
      <c r="B88">
        <v>36</v>
      </c>
      <c r="C88">
        <f t="shared" si="16"/>
        <v>143.64000000000001</v>
      </c>
      <c r="D88">
        <v>78</v>
      </c>
      <c r="E88">
        <f t="shared" si="15"/>
        <v>232.44</v>
      </c>
      <c r="F88">
        <f t="shared" si="17"/>
        <v>2.0464935427936043E-3</v>
      </c>
      <c r="G88">
        <v>143.64000000000001</v>
      </c>
    </row>
    <row r="89" spans="2:7" x14ac:dyDescent="0.25">
      <c r="B89">
        <v>38</v>
      </c>
      <c r="C89">
        <f t="shared" si="16"/>
        <v>151.62</v>
      </c>
      <c r="D89">
        <v>78</v>
      </c>
      <c r="E89">
        <f t="shared" si="15"/>
        <v>232.44</v>
      </c>
      <c r="F89">
        <f t="shared" si="17"/>
        <v>2.0464935427936043E-3</v>
      </c>
      <c r="G89">
        <v>151.62</v>
      </c>
    </row>
    <row r="90" spans="2:7" x14ac:dyDescent="0.25">
      <c r="B90">
        <v>40</v>
      </c>
      <c r="C90">
        <f t="shared" si="16"/>
        <v>159.60000000000002</v>
      </c>
      <c r="D90">
        <v>76</v>
      </c>
      <c r="E90">
        <f t="shared" si="15"/>
        <v>226.48</v>
      </c>
      <c r="F90">
        <f t="shared" si="17"/>
        <v>2.1078014973171261E-3</v>
      </c>
      <c r="G90">
        <v>159.60000000000002</v>
      </c>
    </row>
    <row r="91" spans="2:7" x14ac:dyDescent="0.25">
      <c r="B91">
        <v>50</v>
      </c>
      <c r="C91">
        <f t="shared" si="16"/>
        <v>199.5</v>
      </c>
      <c r="D91">
        <v>73</v>
      </c>
      <c r="E91">
        <f t="shared" si="15"/>
        <v>217.54</v>
      </c>
      <c r="F91">
        <f t="shared" si="17"/>
        <v>2.2065081742912848E-3</v>
      </c>
      <c r="G91">
        <v>199.5</v>
      </c>
    </row>
    <row r="92" spans="2:7" x14ac:dyDescent="0.25">
      <c r="B92">
        <v>60</v>
      </c>
      <c r="C92">
        <f t="shared" si="16"/>
        <v>239.4</v>
      </c>
      <c r="D92">
        <v>35</v>
      </c>
      <c r="E92">
        <f t="shared" si="15"/>
        <v>104.3</v>
      </c>
      <c r="F92">
        <f>E92^(-1/0.88)</f>
        <v>5.0873908443554222E-3</v>
      </c>
      <c r="G92">
        <v>239.4</v>
      </c>
    </row>
    <row r="93" spans="2:7" x14ac:dyDescent="0.25">
      <c r="B93">
        <v>80</v>
      </c>
      <c r="C93">
        <f t="shared" si="16"/>
        <v>319.20000000000005</v>
      </c>
      <c r="D93">
        <v>13</v>
      </c>
      <c r="E93">
        <f t="shared" si="15"/>
        <v>38.74</v>
      </c>
      <c r="F93">
        <f>E93^(-1/0.88)</f>
        <v>1.5677368375515564E-2</v>
      </c>
      <c r="G93">
        <v>319.20000000000005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2"/>
  <sheetViews>
    <sheetView topLeftCell="D1" zoomScaleNormal="100" workbookViewId="0">
      <selection activeCell="R3" sqref="R3:R10"/>
    </sheetView>
  </sheetViews>
  <sheetFormatPr defaultRowHeight="15" x14ac:dyDescent="0.25"/>
  <cols>
    <col min="1" max="1" width="10.42578125" bestFit="1" customWidth="1"/>
    <col min="2" max="2" width="6.28515625" bestFit="1" customWidth="1"/>
    <col min="3" max="3" width="19.140625" bestFit="1" customWidth="1"/>
    <col min="4" max="4" width="13.7109375" bestFit="1" customWidth="1"/>
    <col min="5" max="5" width="17.7109375" bestFit="1" customWidth="1"/>
    <col min="6" max="6" width="12" bestFit="1" customWidth="1"/>
    <col min="7" max="7" width="7" bestFit="1" customWidth="1"/>
    <col min="17" max="17" width="18" bestFit="1" customWidth="1"/>
    <col min="18" max="18" width="20" bestFit="1" customWidth="1"/>
  </cols>
  <sheetData>
    <row r="1" spans="1:18" x14ac:dyDescent="0.25">
      <c r="A1" t="s">
        <v>5</v>
      </c>
    </row>
    <row r="2" spans="1:18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Q2" t="s">
        <v>14</v>
      </c>
      <c r="R2" t="s">
        <v>15</v>
      </c>
    </row>
    <row r="3" spans="1:18" x14ac:dyDescent="0.25">
      <c r="B3">
        <v>24</v>
      </c>
      <c r="C3">
        <f>B3*3.99</f>
        <v>95.76</v>
      </c>
      <c r="E3">
        <f t="shared" ref="E3:E12" si="0">D3*2.98</f>
        <v>0</v>
      </c>
      <c r="F3" t="e">
        <f>E3^(-1/0.88)</f>
        <v>#DIV/0!</v>
      </c>
      <c r="G3">
        <v>95.76</v>
      </c>
      <c r="Q3" t="s">
        <v>16</v>
      </c>
      <c r="R3">
        <v>98.453999999999994</v>
      </c>
    </row>
    <row r="4" spans="1:18" x14ac:dyDescent="0.25">
      <c r="B4">
        <v>26</v>
      </c>
      <c r="C4">
        <f t="shared" ref="C4:C12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Q4" t="s">
        <v>17</v>
      </c>
      <c r="R4">
        <v>56.573999999999998</v>
      </c>
    </row>
    <row r="5" spans="1:18" x14ac:dyDescent="0.25">
      <c r="B5">
        <v>28</v>
      </c>
      <c r="C5">
        <f t="shared" si="1"/>
        <v>111.72</v>
      </c>
      <c r="D5">
        <v>276</v>
      </c>
      <c r="E5">
        <f t="shared" si="0"/>
        <v>822.48</v>
      </c>
      <c r="F5">
        <f>E5^(-1/0.88)</f>
        <v>4.8680783698676474E-4</v>
      </c>
      <c r="G5">
        <v>111.72</v>
      </c>
      <c r="Q5" t="s">
        <v>18</v>
      </c>
      <c r="R5">
        <v>117.017</v>
      </c>
    </row>
    <row r="6" spans="1:18" x14ac:dyDescent="0.25">
      <c r="B6">
        <v>30</v>
      </c>
      <c r="C6">
        <f t="shared" si="1"/>
        <v>119.7</v>
      </c>
      <c r="D6">
        <v>127</v>
      </c>
      <c r="E6">
        <f t="shared" si="0"/>
        <v>378.46</v>
      </c>
      <c r="F6">
        <f t="shared" ref="F6:F12" si="2">E6^(-1/0.88)</f>
        <v>1.1760663803770124E-3</v>
      </c>
      <c r="G6">
        <v>119.7</v>
      </c>
      <c r="Q6" t="s">
        <v>19</v>
      </c>
    </row>
    <row r="7" spans="1:18" x14ac:dyDescent="0.25">
      <c r="B7">
        <v>32</v>
      </c>
      <c r="C7">
        <f t="shared" si="1"/>
        <v>127.68</v>
      </c>
      <c r="D7">
        <v>100</v>
      </c>
      <c r="E7">
        <f t="shared" si="0"/>
        <v>298</v>
      </c>
      <c r="F7">
        <f t="shared" si="2"/>
        <v>1.5430876982370939E-3</v>
      </c>
      <c r="G7">
        <v>127.68</v>
      </c>
      <c r="Q7" t="s">
        <v>20</v>
      </c>
    </row>
    <row r="8" spans="1:18" x14ac:dyDescent="0.25">
      <c r="B8">
        <v>34</v>
      </c>
      <c r="C8">
        <f t="shared" si="1"/>
        <v>135.66</v>
      </c>
      <c r="D8">
        <v>58</v>
      </c>
      <c r="E8">
        <f t="shared" si="0"/>
        <v>172.84</v>
      </c>
      <c r="F8">
        <f t="shared" si="2"/>
        <v>2.8656453041757948E-3</v>
      </c>
      <c r="G8">
        <v>135.66</v>
      </c>
      <c r="Q8" t="s">
        <v>21</v>
      </c>
      <c r="R8">
        <v>89.292000000000002</v>
      </c>
    </row>
    <row r="9" spans="1:18" x14ac:dyDescent="0.25">
      <c r="B9">
        <v>36</v>
      </c>
      <c r="C9">
        <f t="shared" si="1"/>
        <v>143.64000000000001</v>
      </c>
      <c r="D9">
        <v>57</v>
      </c>
      <c r="E9">
        <f t="shared" si="0"/>
        <v>169.85999999999999</v>
      </c>
      <c r="F9">
        <f t="shared" si="2"/>
        <v>2.9228433890545022E-3</v>
      </c>
      <c r="G9">
        <v>143.64000000000001</v>
      </c>
      <c r="Q9" t="s">
        <v>22</v>
      </c>
      <c r="R9">
        <f>AVERAGE(R3:R8)</f>
        <v>90.334249999999997</v>
      </c>
    </row>
    <row r="10" spans="1:18" x14ac:dyDescent="0.25">
      <c r="B10">
        <v>38</v>
      </c>
      <c r="C10">
        <f t="shared" si="1"/>
        <v>151.62</v>
      </c>
      <c r="D10">
        <v>56</v>
      </c>
      <c r="E10">
        <f t="shared" si="0"/>
        <v>166.88</v>
      </c>
      <c r="F10">
        <f t="shared" si="2"/>
        <v>2.982226179283419E-3</v>
      </c>
      <c r="G10">
        <v>151.62</v>
      </c>
      <c r="Q10" t="s">
        <v>23</v>
      </c>
      <c r="R10">
        <f>STDEV(R3:R8)</f>
        <v>25.289920605846078</v>
      </c>
    </row>
    <row r="11" spans="1:18" x14ac:dyDescent="0.25">
      <c r="B11">
        <v>40</v>
      </c>
      <c r="C11">
        <f t="shared" si="1"/>
        <v>159.60000000000002</v>
      </c>
      <c r="D11">
        <v>54</v>
      </c>
      <c r="E11">
        <f t="shared" si="0"/>
        <v>160.91999999999999</v>
      </c>
      <c r="F11">
        <f t="shared" si="2"/>
        <v>3.10805438276914E-3</v>
      </c>
      <c r="G11">
        <v>159.60000000000002</v>
      </c>
    </row>
    <row r="12" spans="1:18" x14ac:dyDescent="0.25">
      <c r="B12">
        <v>50</v>
      </c>
      <c r="C12">
        <f t="shared" si="1"/>
        <v>199.5</v>
      </c>
      <c r="D12">
        <v>33</v>
      </c>
      <c r="E12">
        <f t="shared" si="0"/>
        <v>98.34</v>
      </c>
      <c r="F12">
        <f t="shared" si="2"/>
        <v>5.4391853589170489E-3</v>
      </c>
      <c r="G12">
        <v>199.5</v>
      </c>
    </row>
    <row r="19" spans="1:7" x14ac:dyDescent="0.25">
      <c r="A19" t="s">
        <v>25</v>
      </c>
    </row>
    <row r="20" spans="1:7" x14ac:dyDescent="0.25">
      <c r="B20" t="s">
        <v>0</v>
      </c>
      <c r="C20" t="s">
        <v>4</v>
      </c>
      <c r="D20" t="s">
        <v>1</v>
      </c>
      <c r="E20" t="s">
        <v>2</v>
      </c>
      <c r="F20" t="s">
        <v>3</v>
      </c>
    </row>
    <row r="21" spans="1:7" x14ac:dyDescent="0.25">
      <c r="B21">
        <v>24</v>
      </c>
      <c r="C21">
        <f>B21*3.99</f>
        <v>95.76</v>
      </c>
      <c r="E21">
        <f t="shared" ref="E21:E30" si="3">D21*2.98</f>
        <v>0</v>
      </c>
      <c r="F21" t="e">
        <f>E21^(-1/0.88)</f>
        <v>#DIV/0!</v>
      </c>
      <c r="G21">
        <v>95.76</v>
      </c>
    </row>
    <row r="22" spans="1:7" x14ac:dyDescent="0.25">
      <c r="B22">
        <v>26</v>
      </c>
      <c r="C22">
        <f t="shared" ref="C22:C30" si="4">B22*3.99</f>
        <v>103.74000000000001</v>
      </c>
      <c r="E22">
        <f t="shared" si="3"/>
        <v>0</v>
      </c>
      <c r="F22" t="e">
        <f>E22^(-1/0.88)</f>
        <v>#DIV/0!</v>
      </c>
      <c r="G22">
        <v>103.74000000000001</v>
      </c>
    </row>
    <row r="23" spans="1:7" x14ac:dyDescent="0.25">
      <c r="B23">
        <v>28</v>
      </c>
      <c r="C23">
        <f t="shared" si="4"/>
        <v>111.72</v>
      </c>
      <c r="D23">
        <v>192</v>
      </c>
      <c r="E23">
        <f t="shared" si="3"/>
        <v>572.16</v>
      </c>
      <c r="F23">
        <f>E23^(-1/0.88)</f>
        <v>7.352878582630992E-4</v>
      </c>
      <c r="G23">
        <v>111.72</v>
      </c>
    </row>
    <row r="24" spans="1:7" x14ac:dyDescent="0.25">
      <c r="B24">
        <v>30</v>
      </c>
      <c r="C24">
        <f t="shared" si="4"/>
        <v>119.7</v>
      </c>
      <c r="D24">
        <v>190</v>
      </c>
      <c r="E24">
        <f t="shared" si="3"/>
        <v>566.20000000000005</v>
      </c>
      <c r="F24">
        <f t="shared" ref="F24:F30" si="5">E24^(-1/0.88)</f>
        <v>7.4408946096011185E-4</v>
      </c>
      <c r="G24">
        <v>119.7</v>
      </c>
    </row>
    <row r="25" spans="1:7" x14ac:dyDescent="0.25">
      <c r="B25">
        <v>32</v>
      </c>
      <c r="C25">
        <f t="shared" si="4"/>
        <v>127.68</v>
      </c>
      <c r="D25">
        <v>181</v>
      </c>
      <c r="E25">
        <f t="shared" si="3"/>
        <v>539.38</v>
      </c>
      <c r="F25">
        <f t="shared" si="5"/>
        <v>7.8627423847093473E-4</v>
      </c>
      <c r="G25">
        <v>127.68</v>
      </c>
    </row>
    <row r="26" spans="1:7" x14ac:dyDescent="0.25">
      <c r="B26">
        <v>34</v>
      </c>
      <c r="C26">
        <f t="shared" si="4"/>
        <v>135.66</v>
      </c>
      <c r="D26">
        <v>163</v>
      </c>
      <c r="E26">
        <f t="shared" si="3"/>
        <v>485.74</v>
      </c>
      <c r="F26">
        <f t="shared" si="5"/>
        <v>8.8566265243566512E-4</v>
      </c>
      <c r="G26">
        <v>135.66</v>
      </c>
    </row>
    <row r="27" spans="1:7" x14ac:dyDescent="0.25">
      <c r="B27">
        <v>36</v>
      </c>
      <c r="C27">
        <f t="shared" si="4"/>
        <v>143.64000000000001</v>
      </c>
      <c r="D27">
        <v>154</v>
      </c>
      <c r="E27">
        <f t="shared" si="3"/>
        <v>458.92</v>
      </c>
      <c r="F27">
        <f t="shared" si="5"/>
        <v>9.4471080111264505E-4</v>
      </c>
      <c r="G27">
        <v>143.64000000000001</v>
      </c>
    </row>
    <row r="28" spans="1:7" x14ac:dyDescent="0.25">
      <c r="B28">
        <v>38</v>
      </c>
      <c r="C28">
        <f t="shared" si="4"/>
        <v>151.62</v>
      </c>
      <c r="D28">
        <v>140</v>
      </c>
      <c r="E28">
        <f t="shared" si="3"/>
        <v>417.2</v>
      </c>
      <c r="F28">
        <f t="shared" si="5"/>
        <v>1.0527761143677887E-3</v>
      </c>
      <c r="G28">
        <v>151.62</v>
      </c>
    </row>
    <row r="29" spans="1:7" x14ac:dyDescent="0.25">
      <c r="B29">
        <v>40</v>
      </c>
      <c r="C29">
        <f t="shared" si="4"/>
        <v>159.60000000000002</v>
      </c>
      <c r="D29">
        <v>137</v>
      </c>
      <c r="E29">
        <f t="shared" si="3"/>
        <v>408.26</v>
      </c>
      <c r="F29">
        <f t="shared" si="5"/>
        <v>1.0790121329768575E-3</v>
      </c>
      <c r="G29">
        <v>159.60000000000002</v>
      </c>
    </row>
    <row r="30" spans="1:7" x14ac:dyDescent="0.25">
      <c r="B30">
        <v>50</v>
      </c>
      <c r="C30">
        <f t="shared" si="4"/>
        <v>199.5</v>
      </c>
      <c r="D30">
        <v>93</v>
      </c>
      <c r="E30">
        <f t="shared" si="3"/>
        <v>277.14</v>
      </c>
      <c r="F30">
        <f t="shared" si="5"/>
        <v>1.6757353843407509E-3</v>
      </c>
      <c r="G30">
        <v>199.5</v>
      </c>
    </row>
    <row r="34" spans="1:7" x14ac:dyDescent="0.25">
      <c r="A34" t="s">
        <v>7</v>
      </c>
    </row>
    <row r="35" spans="1:7" x14ac:dyDescent="0.25">
      <c r="B35" t="s">
        <v>0</v>
      </c>
      <c r="C35" t="s">
        <v>4</v>
      </c>
      <c r="D35" t="s">
        <v>1</v>
      </c>
      <c r="E35" t="s">
        <v>2</v>
      </c>
      <c r="F35" t="s">
        <v>3</v>
      </c>
    </row>
    <row r="36" spans="1:7" x14ac:dyDescent="0.25">
      <c r="B36">
        <v>24</v>
      </c>
      <c r="C36">
        <f>B36*3.99</f>
        <v>95.76</v>
      </c>
      <c r="E36">
        <f t="shared" ref="E36:E45" si="6">D36*2.98</f>
        <v>0</v>
      </c>
      <c r="F36" t="e">
        <f>E36^(-1/0.88)</f>
        <v>#DIV/0!</v>
      </c>
      <c r="G36">
        <v>95.76</v>
      </c>
    </row>
    <row r="37" spans="1:7" x14ac:dyDescent="0.25">
      <c r="B37">
        <v>26</v>
      </c>
      <c r="C37">
        <f t="shared" ref="C37:C45" si="7">B37*3.99</f>
        <v>103.74000000000001</v>
      </c>
      <c r="E37">
        <f t="shared" si="6"/>
        <v>0</v>
      </c>
      <c r="F37" t="e">
        <f>E37^(-1/0.88)</f>
        <v>#DIV/0!</v>
      </c>
      <c r="G37">
        <v>103.74000000000001</v>
      </c>
    </row>
    <row r="38" spans="1:7" x14ac:dyDescent="0.25">
      <c r="B38">
        <v>28</v>
      </c>
      <c r="C38">
        <f t="shared" si="7"/>
        <v>111.72</v>
      </c>
      <c r="D38">
        <v>186</v>
      </c>
      <c r="E38">
        <f t="shared" si="6"/>
        <v>554.28</v>
      </c>
      <c r="F38">
        <f>E38^(-1/0.88)</f>
        <v>7.6229996471168296E-4</v>
      </c>
      <c r="G38">
        <v>111.72</v>
      </c>
    </row>
    <row r="39" spans="1:7" x14ac:dyDescent="0.25">
      <c r="B39">
        <v>30</v>
      </c>
      <c r="C39">
        <f t="shared" si="7"/>
        <v>119.7</v>
      </c>
      <c r="D39">
        <v>151</v>
      </c>
      <c r="E39">
        <f t="shared" si="6"/>
        <v>449.98</v>
      </c>
      <c r="F39">
        <f t="shared" ref="F39:F45" si="8">E39^(-1/0.88)</f>
        <v>9.6606803905959339E-4</v>
      </c>
      <c r="G39">
        <v>119.7</v>
      </c>
    </row>
    <row r="40" spans="1:7" x14ac:dyDescent="0.25">
      <c r="B40">
        <v>32</v>
      </c>
      <c r="C40">
        <f t="shared" si="7"/>
        <v>127.68</v>
      </c>
      <c r="D40">
        <v>149</v>
      </c>
      <c r="E40">
        <f t="shared" si="6"/>
        <v>444.02</v>
      </c>
      <c r="F40">
        <f t="shared" si="8"/>
        <v>9.8081710528519217E-4</v>
      </c>
      <c r="G40">
        <v>127.68</v>
      </c>
    </row>
    <row r="41" spans="1:7" x14ac:dyDescent="0.25">
      <c r="B41">
        <v>34</v>
      </c>
      <c r="C41">
        <f t="shared" si="7"/>
        <v>135.66</v>
      </c>
      <c r="D41">
        <v>147</v>
      </c>
      <c r="E41">
        <f t="shared" si="6"/>
        <v>438.06</v>
      </c>
      <c r="F41">
        <f t="shared" si="8"/>
        <v>9.9599526565887983E-4</v>
      </c>
      <c r="G41">
        <v>135.66</v>
      </c>
    </row>
    <row r="42" spans="1:7" x14ac:dyDescent="0.25">
      <c r="B42">
        <v>36</v>
      </c>
      <c r="C42">
        <f t="shared" si="7"/>
        <v>143.64000000000001</v>
      </c>
      <c r="D42">
        <v>46</v>
      </c>
      <c r="E42">
        <f t="shared" si="6"/>
        <v>137.08000000000001</v>
      </c>
      <c r="F42">
        <f t="shared" si="8"/>
        <v>3.7292401021267918E-3</v>
      </c>
      <c r="G42">
        <v>143.64000000000001</v>
      </c>
    </row>
    <row r="43" spans="1:7" x14ac:dyDescent="0.25">
      <c r="B43">
        <v>38</v>
      </c>
      <c r="C43">
        <f t="shared" si="7"/>
        <v>151.62</v>
      </c>
      <c r="D43">
        <v>45</v>
      </c>
      <c r="E43">
        <f t="shared" si="6"/>
        <v>134.1</v>
      </c>
      <c r="F43">
        <f t="shared" si="8"/>
        <v>3.8235546144592112E-3</v>
      </c>
      <c r="G43">
        <v>151.62</v>
      </c>
    </row>
    <row r="44" spans="1:7" x14ac:dyDescent="0.25">
      <c r="B44">
        <v>40</v>
      </c>
      <c r="C44">
        <f t="shared" si="7"/>
        <v>159.60000000000002</v>
      </c>
      <c r="D44">
        <v>43</v>
      </c>
      <c r="E44">
        <f t="shared" si="6"/>
        <v>128.13999999999999</v>
      </c>
      <c r="F44">
        <f t="shared" si="8"/>
        <v>4.026277718217495E-3</v>
      </c>
      <c r="G44">
        <v>159.60000000000002</v>
      </c>
    </row>
    <row r="45" spans="1:7" x14ac:dyDescent="0.25">
      <c r="B45">
        <v>50</v>
      </c>
      <c r="C45">
        <f t="shared" si="7"/>
        <v>199.5</v>
      </c>
      <c r="D45">
        <v>19</v>
      </c>
      <c r="E45">
        <f t="shared" si="6"/>
        <v>56.62</v>
      </c>
      <c r="F45">
        <f t="shared" si="8"/>
        <v>1.0185650959234835E-2</v>
      </c>
      <c r="G45">
        <v>199.5</v>
      </c>
    </row>
    <row r="50" spans="1:7" x14ac:dyDescent="0.25">
      <c r="A50" t="s">
        <v>8</v>
      </c>
    </row>
    <row r="51" spans="1:7" x14ac:dyDescent="0.25">
      <c r="B51" t="s">
        <v>0</v>
      </c>
      <c r="C51" t="s">
        <v>4</v>
      </c>
      <c r="D51" t="s">
        <v>1</v>
      </c>
      <c r="E51" t="s">
        <v>2</v>
      </c>
      <c r="F51" t="s">
        <v>3</v>
      </c>
    </row>
    <row r="52" spans="1:7" x14ac:dyDescent="0.25">
      <c r="B52">
        <v>24</v>
      </c>
      <c r="C52">
        <f>B52*3.99</f>
        <v>95.76</v>
      </c>
      <c r="E52">
        <f t="shared" ref="E52:E61" si="9">D52*2.98</f>
        <v>0</v>
      </c>
      <c r="F52" t="e">
        <f>E52^(-1/0.88)</f>
        <v>#DIV/0!</v>
      </c>
      <c r="G52">
        <v>95.76</v>
      </c>
    </row>
    <row r="53" spans="1:7" x14ac:dyDescent="0.25">
      <c r="B53">
        <v>26</v>
      </c>
      <c r="C53">
        <f t="shared" ref="C53:C61" si="10">B53*3.99</f>
        <v>103.74000000000001</v>
      </c>
      <c r="E53">
        <f t="shared" si="9"/>
        <v>0</v>
      </c>
      <c r="F53" t="e">
        <f>E53^(-1/0.88)</f>
        <v>#DIV/0!</v>
      </c>
      <c r="G53">
        <v>103.74000000000001</v>
      </c>
    </row>
    <row r="54" spans="1:7" x14ac:dyDescent="0.25">
      <c r="B54">
        <v>28</v>
      </c>
      <c r="C54">
        <f t="shared" si="10"/>
        <v>111.72</v>
      </c>
      <c r="D54">
        <v>188</v>
      </c>
      <c r="E54">
        <f t="shared" si="9"/>
        <v>560.24</v>
      </c>
      <c r="F54">
        <f>E54^(-1/0.88)</f>
        <v>7.5309124448194283E-4</v>
      </c>
      <c r="G54">
        <v>111.72</v>
      </c>
    </row>
    <row r="55" spans="1:7" x14ac:dyDescent="0.25">
      <c r="B55">
        <v>30</v>
      </c>
      <c r="C55">
        <f t="shared" si="10"/>
        <v>119.7</v>
      </c>
      <c r="D55">
        <v>123</v>
      </c>
      <c r="E55">
        <f t="shared" si="9"/>
        <v>366.54</v>
      </c>
      <c r="F55">
        <f t="shared" ref="F55:F61" si="11">E55^(-1/0.88)</f>
        <v>1.2196232915589369E-3</v>
      </c>
      <c r="G55">
        <v>119.7</v>
      </c>
    </row>
    <row r="56" spans="1:7" x14ac:dyDescent="0.25">
      <c r="B56">
        <v>32</v>
      </c>
      <c r="C56">
        <f t="shared" si="10"/>
        <v>127.68</v>
      </c>
      <c r="D56">
        <v>122</v>
      </c>
      <c r="E56">
        <f t="shared" si="9"/>
        <v>363.56</v>
      </c>
      <c r="F56">
        <f t="shared" si="11"/>
        <v>1.2309897529687766E-3</v>
      </c>
      <c r="G56">
        <v>127.68</v>
      </c>
    </row>
    <row r="57" spans="1:7" x14ac:dyDescent="0.25">
      <c r="B57">
        <v>34</v>
      </c>
      <c r="C57">
        <f t="shared" si="10"/>
        <v>135.66</v>
      </c>
      <c r="D57">
        <v>122</v>
      </c>
      <c r="E57">
        <f t="shared" si="9"/>
        <v>363.56</v>
      </c>
      <c r="F57">
        <f t="shared" si="11"/>
        <v>1.2309897529687766E-3</v>
      </c>
      <c r="G57">
        <v>135.66</v>
      </c>
    </row>
    <row r="58" spans="1:7" x14ac:dyDescent="0.25">
      <c r="B58">
        <v>36</v>
      </c>
      <c r="C58">
        <f t="shared" si="10"/>
        <v>143.64000000000001</v>
      </c>
      <c r="D58">
        <v>121</v>
      </c>
      <c r="E58">
        <f t="shared" si="9"/>
        <v>360.58</v>
      </c>
      <c r="F58">
        <f t="shared" si="11"/>
        <v>1.2425570121217897E-3</v>
      </c>
      <c r="G58">
        <v>143.64000000000001</v>
      </c>
    </row>
    <row r="59" spans="1:7" x14ac:dyDescent="0.25">
      <c r="B59">
        <v>38</v>
      </c>
      <c r="C59">
        <f t="shared" si="10"/>
        <v>151.62</v>
      </c>
      <c r="D59">
        <v>121</v>
      </c>
      <c r="E59">
        <f t="shared" si="9"/>
        <v>360.58</v>
      </c>
      <c r="F59">
        <f t="shared" si="11"/>
        <v>1.2425570121217897E-3</v>
      </c>
      <c r="G59">
        <v>151.62</v>
      </c>
    </row>
    <row r="60" spans="1:7" x14ac:dyDescent="0.25">
      <c r="B60">
        <v>40</v>
      </c>
      <c r="C60">
        <f t="shared" si="10"/>
        <v>159.60000000000002</v>
      </c>
      <c r="D60">
        <v>120</v>
      </c>
      <c r="E60">
        <f t="shared" si="9"/>
        <v>357.6</v>
      </c>
      <c r="F60">
        <f t="shared" si="11"/>
        <v>1.2543303201074511E-3</v>
      </c>
      <c r="G60">
        <v>159.60000000000002</v>
      </c>
    </row>
    <row r="61" spans="1:7" x14ac:dyDescent="0.25">
      <c r="B61">
        <v>50</v>
      </c>
      <c r="C61">
        <f t="shared" si="10"/>
        <v>199.5</v>
      </c>
      <c r="D61">
        <v>99</v>
      </c>
      <c r="E61">
        <f t="shared" si="9"/>
        <v>295.02</v>
      </c>
      <c r="F61">
        <f t="shared" si="11"/>
        <v>1.5608120709986529E-3</v>
      </c>
      <c r="G61">
        <v>199.5</v>
      </c>
    </row>
    <row r="65" spans="1:7" x14ac:dyDescent="0.25">
      <c r="A65" t="s">
        <v>9</v>
      </c>
    </row>
    <row r="66" spans="1:7" x14ac:dyDescent="0.25">
      <c r="B66" t="s">
        <v>0</v>
      </c>
      <c r="C66" t="s">
        <v>4</v>
      </c>
      <c r="D66" t="s">
        <v>1</v>
      </c>
      <c r="E66" t="s">
        <v>2</v>
      </c>
      <c r="F66" t="s">
        <v>3</v>
      </c>
    </row>
    <row r="67" spans="1:7" x14ac:dyDescent="0.25">
      <c r="B67">
        <v>24</v>
      </c>
      <c r="C67">
        <f>B67*3.99</f>
        <v>95.76</v>
      </c>
      <c r="E67">
        <f t="shared" ref="E67:E76" si="12">D67*2.98</f>
        <v>0</v>
      </c>
      <c r="F67" t="e">
        <f>E67^(-1/0.88)</f>
        <v>#DIV/0!</v>
      </c>
      <c r="G67">
        <v>95.76</v>
      </c>
    </row>
    <row r="68" spans="1:7" x14ac:dyDescent="0.25">
      <c r="B68">
        <v>26</v>
      </c>
      <c r="C68">
        <f t="shared" ref="C68:C76" si="13">B68*3.99</f>
        <v>103.74000000000001</v>
      </c>
      <c r="E68">
        <f t="shared" si="12"/>
        <v>0</v>
      </c>
      <c r="F68" t="e">
        <f>E68^(-1/0.88)</f>
        <v>#DIV/0!</v>
      </c>
      <c r="G68">
        <v>103.74000000000001</v>
      </c>
    </row>
    <row r="69" spans="1:7" x14ac:dyDescent="0.25">
      <c r="B69">
        <v>28</v>
      </c>
      <c r="C69">
        <f t="shared" si="13"/>
        <v>111.72</v>
      </c>
      <c r="E69">
        <f t="shared" si="12"/>
        <v>0</v>
      </c>
      <c r="F69" t="e">
        <f>E69^(-1/0.88)</f>
        <v>#DIV/0!</v>
      </c>
      <c r="G69">
        <v>111.72</v>
      </c>
    </row>
    <row r="70" spans="1:7" x14ac:dyDescent="0.25">
      <c r="B70">
        <v>30</v>
      </c>
      <c r="C70">
        <f t="shared" si="13"/>
        <v>119.7</v>
      </c>
      <c r="D70">
        <v>305</v>
      </c>
      <c r="E70">
        <f t="shared" si="12"/>
        <v>908.9</v>
      </c>
      <c r="F70">
        <f t="shared" ref="F70:F76" si="14">E70^(-1/0.88)</f>
        <v>4.3456013429150149E-4</v>
      </c>
      <c r="G70">
        <v>119.7</v>
      </c>
    </row>
    <row r="71" spans="1:7" x14ac:dyDescent="0.25">
      <c r="B71">
        <v>32</v>
      </c>
      <c r="C71">
        <f t="shared" si="13"/>
        <v>127.68</v>
      </c>
      <c r="D71">
        <v>304</v>
      </c>
      <c r="E71">
        <f t="shared" si="12"/>
        <v>905.92</v>
      </c>
      <c r="F71">
        <f t="shared" si="14"/>
        <v>4.3618490068759173E-4</v>
      </c>
      <c r="G71">
        <v>127.68</v>
      </c>
    </row>
    <row r="72" spans="1:7" x14ac:dyDescent="0.25">
      <c r="B72">
        <v>34</v>
      </c>
      <c r="C72">
        <f t="shared" si="13"/>
        <v>135.66</v>
      </c>
      <c r="D72">
        <v>287</v>
      </c>
      <c r="E72">
        <f t="shared" si="12"/>
        <v>855.26</v>
      </c>
      <c r="F72">
        <f t="shared" si="14"/>
        <v>4.6566143462066983E-4</v>
      </c>
      <c r="G72">
        <v>135.66</v>
      </c>
    </row>
    <row r="73" spans="1:7" x14ac:dyDescent="0.25">
      <c r="B73">
        <v>36</v>
      </c>
      <c r="C73">
        <f t="shared" si="13"/>
        <v>143.64000000000001</v>
      </c>
      <c r="D73">
        <v>286</v>
      </c>
      <c r="E73">
        <f t="shared" si="12"/>
        <v>852.28</v>
      </c>
      <c r="F73">
        <f t="shared" si="14"/>
        <v>4.675120875760057E-4</v>
      </c>
      <c r="G73">
        <v>143.64000000000001</v>
      </c>
    </row>
    <row r="74" spans="1:7" x14ac:dyDescent="0.25">
      <c r="B74">
        <v>38</v>
      </c>
      <c r="C74">
        <f t="shared" si="13"/>
        <v>151.62</v>
      </c>
      <c r="D74">
        <v>285</v>
      </c>
      <c r="E74">
        <f t="shared" si="12"/>
        <v>849.3</v>
      </c>
      <c r="F74">
        <f t="shared" si="14"/>
        <v>4.6937661636301805E-4</v>
      </c>
      <c r="G74">
        <v>151.62</v>
      </c>
    </row>
    <row r="75" spans="1:7" x14ac:dyDescent="0.25">
      <c r="B75">
        <v>40</v>
      </c>
      <c r="C75">
        <f t="shared" si="13"/>
        <v>159.60000000000002</v>
      </c>
      <c r="D75">
        <v>285</v>
      </c>
      <c r="E75">
        <f t="shared" si="12"/>
        <v>849.3</v>
      </c>
      <c r="F75">
        <f t="shared" si="14"/>
        <v>4.6937661636301805E-4</v>
      </c>
      <c r="G75">
        <v>159.60000000000002</v>
      </c>
    </row>
    <row r="76" spans="1:7" x14ac:dyDescent="0.25">
      <c r="B76">
        <v>50</v>
      </c>
      <c r="C76">
        <f t="shared" si="13"/>
        <v>199.5</v>
      </c>
      <c r="E76">
        <f t="shared" si="12"/>
        <v>0</v>
      </c>
      <c r="F76" t="e">
        <f t="shared" si="14"/>
        <v>#DIV/0!</v>
      </c>
      <c r="G76">
        <v>199.5</v>
      </c>
    </row>
    <row r="81" spans="1:7" x14ac:dyDescent="0.25">
      <c r="A81" t="s">
        <v>10</v>
      </c>
    </row>
    <row r="82" spans="1:7" x14ac:dyDescent="0.25">
      <c r="B82" t="s">
        <v>0</v>
      </c>
      <c r="C82" t="s">
        <v>4</v>
      </c>
      <c r="D82" t="s">
        <v>1</v>
      </c>
      <c r="E82" t="s">
        <v>2</v>
      </c>
      <c r="F82" t="s">
        <v>3</v>
      </c>
    </row>
    <row r="83" spans="1:7" x14ac:dyDescent="0.25">
      <c r="B83">
        <v>24</v>
      </c>
      <c r="C83">
        <f>B83*3.99</f>
        <v>95.76</v>
      </c>
      <c r="E83">
        <f t="shared" ref="E83:E92" si="15">D83*2.98</f>
        <v>0</v>
      </c>
      <c r="F83" t="e">
        <f>E83^(-1/0.88)</f>
        <v>#DIV/0!</v>
      </c>
      <c r="G83">
        <v>95.76</v>
      </c>
    </row>
    <row r="84" spans="1:7" x14ac:dyDescent="0.25">
      <c r="B84">
        <v>26</v>
      </c>
      <c r="C84">
        <f t="shared" ref="C84:C92" si="16">B84*3.99</f>
        <v>103.74000000000001</v>
      </c>
      <c r="E84">
        <f t="shared" si="15"/>
        <v>0</v>
      </c>
      <c r="F84" t="e">
        <f>E84^(-1/0.88)</f>
        <v>#DIV/0!</v>
      </c>
      <c r="G84">
        <v>103.74000000000001</v>
      </c>
    </row>
    <row r="85" spans="1:7" x14ac:dyDescent="0.25">
      <c r="B85">
        <v>28</v>
      </c>
      <c r="C85">
        <f t="shared" si="16"/>
        <v>111.72</v>
      </c>
      <c r="E85">
        <f t="shared" si="15"/>
        <v>0</v>
      </c>
      <c r="F85" t="e">
        <f>E85^(-1/0.88)</f>
        <v>#DIV/0!</v>
      </c>
      <c r="G85">
        <v>111.72</v>
      </c>
    </row>
    <row r="86" spans="1:7" x14ac:dyDescent="0.25">
      <c r="B86">
        <v>30</v>
      </c>
      <c r="C86">
        <f t="shared" si="16"/>
        <v>119.7</v>
      </c>
      <c r="D86">
        <v>138</v>
      </c>
      <c r="E86">
        <f t="shared" si="15"/>
        <v>411.24</v>
      </c>
      <c r="F86">
        <f t="shared" ref="F86:F92" si="17">E86^(-1/0.88)</f>
        <v>1.07013138603731E-3</v>
      </c>
      <c r="G86">
        <v>119.7</v>
      </c>
    </row>
    <row r="87" spans="1:7" x14ac:dyDescent="0.25">
      <c r="B87">
        <v>32</v>
      </c>
      <c r="C87">
        <f t="shared" si="16"/>
        <v>127.68</v>
      </c>
      <c r="D87">
        <v>92</v>
      </c>
      <c r="E87">
        <f t="shared" si="15"/>
        <v>274.16000000000003</v>
      </c>
      <c r="F87">
        <f t="shared" si="17"/>
        <v>1.6964489887948682E-3</v>
      </c>
      <c r="G87">
        <v>127.68</v>
      </c>
    </row>
    <row r="88" spans="1:7" x14ac:dyDescent="0.25">
      <c r="B88">
        <v>34</v>
      </c>
      <c r="C88">
        <f t="shared" si="16"/>
        <v>135.66</v>
      </c>
      <c r="D88">
        <v>80</v>
      </c>
      <c r="E88">
        <f t="shared" si="15"/>
        <v>238.4</v>
      </c>
      <c r="F88">
        <f t="shared" si="17"/>
        <v>1.9884543439480438E-3</v>
      </c>
      <c r="G88">
        <v>135.66</v>
      </c>
    </row>
    <row r="89" spans="1:7" x14ac:dyDescent="0.25">
      <c r="B89">
        <v>36</v>
      </c>
      <c r="C89">
        <f t="shared" si="16"/>
        <v>143.64000000000001</v>
      </c>
      <c r="D89">
        <v>78</v>
      </c>
      <c r="E89">
        <f t="shared" si="15"/>
        <v>232.44</v>
      </c>
      <c r="F89">
        <f t="shared" si="17"/>
        <v>2.0464935427936043E-3</v>
      </c>
      <c r="G89">
        <v>143.64000000000001</v>
      </c>
    </row>
    <row r="90" spans="1:7" x14ac:dyDescent="0.25">
      <c r="B90">
        <v>38</v>
      </c>
      <c r="C90">
        <f t="shared" si="16"/>
        <v>151.62</v>
      </c>
      <c r="D90">
        <v>77</v>
      </c>
      <c r="E90">
        <f t="shared" si="15"/>
        <v>229.46</v>
      </c>
      <c r="F90">
        <f t="shared" si="17"/>
        <v>2.0767222755836167E-3</v>
      </c>
      <c r="G90">
        <v>151.62</v>
      </c>
    </row>
    <row r="91" spans="1:7" x14ac:dyDescent="0.25">
      <c r="B91">
        <v>40</v>
      </c>
      <c r="C91">
        <f t="shared" si="16"/>
        <v>159.60000000000002</v>
      </c>
      <c r="D91">
        <v>61</v>
      </c>
      <c r="E91">
        <f t="shared" si="15"/>
        <v>181.78</v>
      </c>
      <c r="F91">
        <f t="shared" si="17"/>
        <v>2.7060385442768003E-3</v>
      </c>
      <c r="G91">
        <v>159.60000000000002</v>
      </c>
    </row>
    <row r="92" spans="1:7" x14ac:dyDescent="0.25">
      <c r="B92">
        <v>50</v>
      </c>
      <c r="C92">
        <f t="shared" si="16"/>
        <v>199.5</v>
      </c>
      <c r="E92">
        <f t="shared" si="15"/>
        <v>0</v>
      </c>
      <c r="F92" t="e">
        <f t="shared" si="17"/>
        <v>#DIV/0!</v>
      </c>
      <c r="G92">
        <v>199.5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zoomScale="90" zoomScaleNormal="90" workbookViewId="0">
      <selection activeCell="P2" sqref="P2:Q10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5.28515625" bestFit="1" customWidth="1"/>
    <col min="17" max="17" width="16.5703125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D3">
        <v>30</v>
      </c>
      <c r="E3">
        <f t="shared" ref="E3:E14" si="0">D3*2.98</f>
        <v>89.4</v>
      </c>
      <c r="F3">
        <f>E3^(-1/0.88)</f>
        <v>6.0613728780730567E-3</v>
      </c>
      <c r="G3">
        <v>95.76</v>
      </c>
      <c r="P3" t="s">
        <v>16</v>
      </c>
      <c r="Q3">
        <v>81.353999999999999</v>
      </c>
    </row>
    <row r="4" spans="1:17" x14ac:dyDescent="0.25">
      <c r="B4">
        <v>26</v>
      </c>
      <c r="C4">
        <f t="shared" ref="C4:C14" si="1">B4*3.99</f>
        <v>103.74000000000001</v>
      </c>
      <c r="D4">
        <v>24</v>
      </c>
      <c r="E4">
        <f t="shared" si="0"/>
        <v>71.52</v>
      </c>
      <c r="F4">
        <f>E4^(-1/0.88)</f>
        <v>7.8108089666342031E-3</v>
      </c>
      <c r="G4">
        <v>103.74000000000001</v>
      </c>
      <c r="P4" t="s">
        <v>17</v>
      </c>
      <c r="Q4">
        <v>85.528999999999996</v>
      </c>
    </row>
    <row r="5" spans="1:17" x14ac:dyDescent="0.25">
      <c r="B5">
        <v>28</v>
      </c>
      <c r="C5">
        <f t="shared" si="1"/>
        <v>111.72</v>
      </c>
      <c r="D5">
        <v>22</v>
      </c>
      <c r="E5">
        <f t="shared" si="0"/>
        <v>65.56</v>
      </c>
      <c r="F5">
        <f>E5^(-1/0.88)</f>
        <v>8.6225865556297E-3</v>
      </c>
      <c r="G5">
        <v>111.72</v>
      </c>
      <c r="P5" t="s">
        <v>18</v>
      </c>
    </row>
    <row r="6" spans="1:17" x14ac:dyDescent="0.25">
      <c r="B6">
        <v>30</v>
      </c>
      <c r="C6">
        <f t="shared" si="1"/>
        <v>119.7</v>
      </c>
      <c r="D6">
        <v>22</v>
      </c>
      <c r="E6">
        <f t="shared" si="0"/>
        <v>65.56</v>
      </c>
      <c r="F6">
        <f t="shared" ref="F6:F12" si="2">E6^(-1/0.88)</f>
        <v>8.6225865556297E-3</v>
      </c>
      <c r="G6">
        <v>119.7</v>
      </c>
      <c r="P6" t="s">
        <v>19</v>
      </c>
    </row>
    <row r="7" spans="1:17" x14ac:dyDescent="0.25">
      <c r="B7">
        <v>32</v>
      </c>
      <c r="C7">
        <f t="shared" si="1"/>
        <v>127.68</v>
      </c>
      <c r="D7">
        <v>13</v>
      </c>
      <c r="E7">
        <f t="shared" si="0"/>
        <v>38.74</v>
      </c>
      <c r="F7">
        <f t="shared" si="2"/>
        <v>1.5677368375515564E-2</v>
      </c>
      <c r="G7">
        <v>127.68</v>
      </c>
      <c r="P7" t="s">
        <v>20</v>
      </c>
      <c r="Q7">
        <v>57.363</v>
      </c>
    </row>
    <row r="8" spans="1:17" x14ac:dyDescent="0.25">
      <c r="B8">
        <v>34</v>
      </c>
      <c r="C8">
        <f t="shared" si="1"/>
        <v>135.66</v>
      </c>
      <c r="D8">
        <v>12</v>
      </c>
      <c r="E8">
        <f t="shared" si="0"/>
        <v>35.76</v>
      </c>
      <c r="F8">
        <f t="shared" si="2"/>
        <v>1.7170208017345791E-2</v>
      </c>
      <c r="G8">
        <v>135.66</v>
      </c>
      <c r="P8" t="s">
        <v>21</v>
      </c>
      <c r="Q8">
        <v>96.625</v>
      </c>
    </row>
    <row r="9" spans="1:17" x14ac:dyDescent="0.25">
      <c r="B9">
        <v>36</v>
      </c>
      <c r="C9">
        <f t="shared" si="1"/>
        <v>143.64000000000001</v>
      </c>
      <c r="D9">
        <v>11</v>
      </c>
      <c r="E9">
        <f t="shared" si="0"/>
        <v>32.78</v>
      </c>
      <c r="F9">
        <f t="shared" si="2"/>
        <v>1.8954708205023315E-2</v>
      </c>
      <c r="G9">
        <v>143.64000000000001</v>
      </c>
      <c r="P9" t="s">
        <v>22</v>
      </c>
      <c r="Q9">
        <f>AVERAGE(Q3:Q8)</f>
        <v>80.217749999999995</v>
      </c>
    </row>
    <row r="10" spans="1:17" x14ac:dyDescent="0.25">
      <c r="B10">
        <v>38</v>
      </c>
      <c r="C10">
        <f t="shared" si="1"/>
        <v>151.62</v>
      </c>
      <c r="D10">
        <v>10</v>
      </c>
      <c r="E10">
        <f t="shared" si="0"/>
        <v>29.8</v>
      </c>
      <c r="F10">
        <f t="shared" si="2"/>
        <v>2.1122934160970067E-2</v>
      </c>
      <c r="G10">
        <v>151.62</v>
      </c>
      <c r="P10" t="s">
        <v>23</v>
      </c>
      <c r="Q10">
        <f>STDEV(Q3:Q8)</f>
        <v>16.543255330093544</v>
      </c>
    </row>
    <row r="11" spans="1:17" x14ac:dyDescent="0.25">
      <c r="B11">
        <v>40</v>
      </c>
      <c r="C11">
        <f t="shared" si="1"/>
        <v>159.60000000000002</v>
      </c>
      <c r="D11">
        <v>9</v>
      </c>
      <c r="E11">
        <f t="shared" si="0"/>
        <v>26.82</v>
      </c>
      <c r="F11">
        <f t="shared" si="2"/>
        <v>2.380956131593407E-2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E12">
        <f t="shared" si="0"/>
        <v>0</v>
      </c>
      <c r="F12" t="e">
        <f t="shared" si="2"/>
        <v>#DIV/0!</v>
      </c>
      <c r="G12">
        <v>199.5</v>
      </c>
    </row>
    <row r="13" spans="1:17" x14ac:dyDescent="0.25">
      <c r="B13">
        <v>60</v>
      </c>
      <c r="C13">
        <f t="shared" si="1"/>
        <v>239.4</v>
      </c>
      <c r="E13">
        <f t="shared" si="0"/>
        <v>0</v>
      </c>
      <c r="F13" t="e">
        <f>E13^(-1/0.88)</f>
        <v>#DIV/0!</v>
      </c>
      <c r="G13">
        <v>239.4</v>
      </c>
    </row>
    <row r="14" spans="1:17" x14ac:dyDescent="0.25">
      <c r="B14">
        <v>80</v>
      </c>
      <c r="C14">
        <f t="shared" si="1"/>
        <v>319.20000000000005</v>
      </c>
      <c r="E14">
        <f t="shared" si="0"/>
        <v>0</v>
      </c>
      <c r="F14" t="e">
        <f>E14^(-1/0.88)</f>
        <v>#DIV/0!</v>
      </c>
      <c r="G14">
        <v>319.20000000000005</v>
      </c>
    </row>
    <row r="18" spans="1:7" x14ac:dyDescent="0.25">
      <c r="A18" t="s">
        <v>25</v>
      </c>
    </row>
    <row r="19" spans="1:7" x14ac:dyDescent="0.25">
      <c r="B19" t="s">
        <v>0</v>
      </c>
      <c r="C19" t="s">
        <v>4</v>
      </c>
      <c r="D19" t="s">
        <v>1</v>
      </c>
      <c r="E19" t="s">
        <v>2</v>
      </c>
      <c r="F19" t="s">
        <v>3</v>
      </c>
    </row>
    <row r="20" spans="1:7" x14ac:dyDescent="0.25">
      <c r="B20">
        <v>24</v>
      </c>
      <c r="C20">
        <f>B20*3.99</f>
        <v>95.76</v>
      </c>
      <c r="D20">
        <v>28</v>
      </c>
      <c r="E20">
        <f t="shared" ref="E20:E31" si="3">D20*2.98</f>
        <v>83.44</v>
      </c>
      <c r="F20">
        <f>E20^(-1/0.88)</f>
        <v>6.5557158127675817E-3</v>
      </c>
      <c r="G20">
        <v>95.76</v>
      </c>
    </row>
    <row r="21" spans="1:7" x14ac:dyDescent="0.25">
      <c r="B21">
        <v>26</v>
      </c>
      <c r="C21">
        <f t="shared" ref="C21:C31" si="4">B21*3.99</f>
        <v>103.74000000000001</v>
      </c>
      <c r="D21">
        <v>27</v>
      </c>
      <c r="E21">
        <f t="shared" si="3"/>
        <v>80.459999999999994</v>
      </c>
      <c r="F21">
        <f>E21^(-1/0.88)</f>
        <v>6.8323192270269553E-3</v>
      </c>
      <c r="G21">
        <v>103.74000000000001</v>
      </c>
    </row>
    <row r="22" spans="1:7" x14ac:dyDescent="0.25">
      <c r="B22">
        <v>28</v>
      </c>
      <c r="C22">
        <f t="shared" si="4"/>
        <v>111.72</v>
      </c>
      <c r="D22">
        <v>13</v>
      </c>
      <c r="E22">
        <f t="shared" si="3"/>
        <v>38.74</v>
      </c>
      <c r="F22">
        <f>E22^(-1/0.88)</f>
        <v>1.5677368375515564E-2</v>
      </c>
      <c r="G22">
        <v>111.72</v>
      </c>
    </row>
    <row r="23" spans="1:7" x14ac:dyDescent="0.25">
      <c r="B23">
        <v>30</v>
      </c>
      <c r="C23">
        <f t="shared" si="4"/>
        <v>119.7</v>
      </c>
      <c r="D23">
        <v>12</v>
      </c>
      <c r="E23">
        <f t="shared" si="3"/>
        <v>35.76</v>
      </c>
      <c r="F23">
        <f t="shared" ref="F23:F29" si="5">E23^(-1/0.88)</f>
        <v>1.7170208017345791E-2</v>
      </c>
      <c r="G23">
        <v>119.7</v>
      </c>
    </row>
    <row r="24" spans="1:7" x14ac:dyDescent="0.25">
      <c r="B24">
        <v>32</v>
      </c>
      <c r="C24">
        <f t="shared" si="4"/>
        <v>127.68</v>
      </c>
      <c r="D24">
        <v>11</v>
      </c>
      <c r="E24">
        <f t="shared" si="3"/>
        <v>32.78</v>
      </c>
      <c r="F24">
        <f t="shared" si="5"/>
        <v>1.8954708205023315E-2</v>
      </c>
      <c r="G24">
        <v>127.68</v>
      </c>
    </row>
    <row r="25" spans="1:7" x14ac:dyDescent="0.25">
      <c r="B25">
        <v>34</v>
      </c>
      <c r="C25">
        <f t="shared" si="4"/>
        <v>135.66</v>
      </c>
      <c r="E25">
        <f t="shared" si="3"/>
        <v>0</v>
      </c>
      <c r="F25" t="e">
        <f t="shared" si="5"/>
        <v>#DIV/0!</v>
      </c>
      <c r="G25">
        <v>135.66</v>
      </c>
    </row>
    <row r="26" spans="1:7" x14ac:dyDescent="0.25">
      <c r="B26">
        <v>36</v>
      </c>
      <c r="C26">
        <f t="shared" si="4"/>
        <v>143.64000000000001</v>
      </c>
      <c r="E26">
        <f t="shared" si="3"/>
        <v>0</v>
      </c>
      <c r="F26" t="e">
        <f t="shared" si="5"/>
        <v>#DIV/0!</v>
      </c>
      <c r="G26">
        <v>143.64000000000001</v>
      </c>
    </row>
    <row r="27" spans="1:7" x14ac:dyDescent="0.25">
      <c r="B27">
        <v>38</v>
      </c>
      <c r="C27">
        <f t="shared" si="4"/>
        <v>151.62</v>
      </c>
      <c r="E27">
        <f t="shared" si="3"/>
        <v>0</v>
      </c>
      <c r="F27" t="e">
        <f t="shared" si="5"/>
        <v>#DIV/0!</v>
      </c>
      <c r="G27">
        <v>151.62</v>
      </c>
    </row>
    <row r="28" spans="1:7" x14ac:dyDescent="0.25">
      <c r="B28">
        <v>40</v>
      </c>
      <c r="C28">
        <f t="shared" si="4"/>
        <v>159.60000000000002</v>
      </c>
      <c r="E28">
        <f t="shared" si="3"/>
        <v>0</v>
      </c>
      <c r="F28" t="e">
        <f t="shared" si="5"/>
        <v>#DIV/0!</v>
      </c>
      <c r="G28">
        <v>159.60000000000002</v>
      </c>
    </row>
    <row r="29" spans="1:7" x14ac:dyDescent="0.25">
      <c r="B29">
        <v>50</v>
      </c>
      <c r="C29">
        <f t="shared" si="4"/>
        <v>199.5</v>
      </c>
      <c r="E29">
        <f t="shared" si="3"/>
        <v>0</v>
      </c>
      <c r="F29" t="e">
        <f t="shared" si="5"/>
        <v>#DIV/0!</v>
      </c>
      <c r="G29">
        <v>199.5</v>
      </c>
    </row>
    <row r="30" spans="1:7" x14ac:dyDescent="0.25">
      <c r="B30">
        <v>60</v>
      </c>
      <c r="C30">
        <f t="shared" si="4"/>
        <v>239.4</v>
      </c>
      <c r="E30">
        <f t="shared" si="3"/>
        <v>0</v>
      </c>
      <c r="F30" t="e">
        <f>E30^(-1/0.88)</f>
        <v>#DIV/0!</v>
      </c>
      <c r="G30">
        <v>239.4</v>
      </c>
    </row>
    <row r="31" spans="1:7" x14ac:dyDescent="0.25">
      <c r="B31">
        <v>80</v>
      </c>
      <c r="C31">
        <f t="shared" si="4"/>
        <v>319.20000000000005</v>
      </c>
      <c r="E31">
        <f t="shared" si="3"/>
        <v>0</v>
      </c>
      <c r="F31" t="e">
        <f>E31^(-1/0.88)</f>
        <v>#DIV/0!</v>
      </c>
      <c r="G31">
        <v>319.20000000000005</v>
      </c>
    </row>
    <row r="35" spans="1:7" x14ac:dyDescent="0.25">
      <c r="A35" t="s">
        <v>31</v>
      </c>
    </row>
    <row r="36" spans="1:7" x14ac:dyDescent="0.25">
      <c r="B36" t="s">
        <v>0</v>
      </c>
      <c r="C36" t="s">
        <v>4</v>
      </c>
      <c r="D36" t="s">
        <v>1</v>
      </c>
      <c r="E36" t="s">
        <v>2</v>
      </c>
      <c r="F36" t="s">
        <v>3</v>
      </c>
    </row>
    <row r="37" spans="1:7" x14ac:dyDescent="0.25">
      <c r="B37">
        <v>24</v>
      </c>
      <c r="C37">
        <f>B37*3.99</f>
        <v>95.76</v>
      </c>
      <c r="D37">
        <v>15</v>
      </c>
      <c r="E37">
        <f t="shared" ref="E37:E48" si="6">D37*2.98</f>
        <v>44.7</v>
      </c>
      <c r="F37">
        <f>E37^(-1/0.88)</f>
        <v>1.3324488363727047E-2</v>
      </c>
      <c r="G37">
        <v>95.76</v>
      </c>
    </row>
    <row r="38" spans="1:7" x14ac:dyDescent="0.25">
      <c r="B38">
        <v>26</v>
      </c>
      <c r="C38">
        <f t="shared" ref="C38:C48" si="7">B38*3.99</f>
        <v>103.74000000000001</v>
      </c>
      <c r="D38">
        <v>14</v>
      </c>
      <c r="E38">
        <f t="shared" si="6"/>
        <v>41.72</v>
      </c>
      <c r="F38">
        <f>E38^(-1/0.88)</f>
        <v>1.4411183872075611E-2</v>
      </c>
      <c r="G38">
        <v>103.74000000000001</v>
      </c>
    </row>
    <row r="39" spans="1:7" x14ac:dyDescent="0.25">
      <c r="B39">
        <v>28</v>
      </c>
      <c r="C39">
        <f t="shared" si="7"/>
        <v>111.72</v>
      </c>
      <c r="D39">
        <v>13</v>
      </c>
      <c r="E39">
        <f t="shared" si="6"/>
        <v>38.74</v>
      </c>
      <c r="F39">
        <f>E39^(-1/0.88)</f>
        <v>1.5677368375515564E-2</v>
      </c>
      <c r="G39">
        <v>111.72</v>
      </c>
    </row>
    <row r="40" spans="1:7" x14ac:dyDescent="0.25">
      <c r="B40">
        <v>30</v>
      </c>
      <c r="C40">
        <f t="shared" si="7"/>
        <v>119.7</v>
      </c>
      <c r="D40">
        <v>13</v>
      </c>
      <c r="E40">
        <f t="shared" si="6"/>
        <v>38.74</v>
      </c>
      <c r="F40">
        <f t="shared" ref="F40:F46" si="8">E40^(-1/0.88)</f>
        <v>1.5677368375515564E-2</v>
      </c>
      <c r="G40">
        <v>119.7</v>
      </c>
    </row>
    <row r="41" spans="1:7" x14ac:dyDescent="0.25">
      <c r="B41">
        <v>32</v>
      </c>
      <c r="C41">
        <f t="shared" si="7"/>
        <v>127.68</v>
      </c>
      <c r="D41">
        <v>13</v>
      </c>
      <c r="E41">
        <f t="shared" si="6"/>
        <v>38.74</v>
      </c>
      <c r="F41">
        <f t="shared" si="8"/>
        <v>1.5677368375515564E-2</v>
      </c>
      <c r="G41">
        <v>127.68</v>
      </c>
    </row>
    <row r="42" spans="1:7" x14ac:dyDescent="0.25">
      <c r="B42">
        <v>34</v>
      </c>
      <c r="C42">
        <f t="shared" si="7"/>
        <v>135.66</v>
      </c>
      <c r="D42">
        <v>9</v>
      </c>
      <c r="E42">
        <f t="shared" si="6"/>
        <v>26.82</v>
      </c>
      <c r="F42">
        <f t="shared" si="8"/>
        <v>2.380956131593407E-2</v>
      </c>
      <c r="G42">
        <v>135.66</v>
      </c>
    </row>
    <row r="43" spans="1:7" x14ac:dyDescent="0.25">
      <c r="B43">
        <v>36</v>
      </c>
      <c r="C43">
        <f t="shared" si="7"/>
        <v>143.64000000000001</v>
      </c>
      <c r="D43">
        <v>9</v>
      </c>
      <c r="E43">
        <f t="shared" si="6"/>
        <v>26.82</v>
      </c>
      <c r="F43">
        <f t="shared" si="8"/>
        <v>2.380956131593407E-2</v>
      </c>
      <c r="G43">
        <v>143.64000000000001</v>
      </c>
    </row>
    <row r="44" spans="1:7" x14ac:dyDescent="0.25">
      <c r="B44">
        <v>38</v>
      </c>
      <c r="C44">
        <f t="shared" si="7"/>
        <v>151.62</v>
      </c>
      <c r="D44">
        <v>8</v>
      </c>
      <c r="E44">
        <f t="shared" si="6"/>
        <v>23.84</v>
      </c>
      <c r="F44">
        <f t="shared" si="8"/>
        <v>2.7219444648087589E-2</v>
      </c>
      <c r="G44">
        <v>151.62</v>
      </c>
    </row>
    <row r="45" spans="1:7" x14ac:dyDescent="0.25">
      <c r="B45">
        <v>40</v>
      </c>
      <c r="C45">
        <f t="shared" si="7"/>
        <v>159.60000000000002</v>
      </c>
      <c r="D45">
        <v>8</v>
      </c>
      <c r="E45">
        <f t="shared" si="6"/>
        <v>23.84</v>
      </c>
      <c r="F45">
        <f t="shared" si="8"/>
        <v>2.7219444648087589E-2</v>
      </c>
      <c r="G45">
        <v>159.60000000000002</v>
      </c>
    </row>
    <row r="46" spans="1:7" x14ac:dyDescent="0.25">
      <c r="B46">
        <v>50</v>
      </c>
      <c r="C46">
        <f t="shared" si="7"/>
        <v>199.5</v>
      </c>
      <c r="E46">
        <f t="shared" si="6"/>
        <v>0</v>
      </c>
      <c r="F46" t="e">
        <f t="shared" si="8"/>
        <v>#DIV/0!</v>
      </c>
      <c r="G46">
        <v>199.5</v>
      </c>
    </row>
    <row r="47" spans="1:7" x14ac:dyDescent="0.25">
      <c r="B47">
        <v>60</v>
      </c>
      <c r="C47">
        <f t="shared" si="7"/>
        <v>239.4</v>
      </c>
      <c r="E47">
        <f t="shared" si="6"/>
        <v>0</v>
      </c>
      <c r="F47" t="e">
        <f>E47^(-1/0.88)</f>
        <v>#DIV/0!</v>
      </c>
      <c r="G47">
        <v>239.4</v>
      </c>
    </row>
    <row r="48" spans="1:7" x14ac:dyDescent="0.25">
      <c r="B48">
        <v>80</v>
      </c>
      <c r="C48">
        <f t="shared" si="7"/>
        <v>319.20000000000005</v>
      </c>
      <c r="E48">
        <f t="shared" si="6"/>
        <v>0</v>
      </c>
      <c r="F48" t="e">
        <f>E48^(-1/0.88)</f>
        <v>#DIV/0!</v>
      </c>
      <c r="G48">
        <v>319.20000000000005</v>
      </c>
    </row>
    <row r="51" spans="1:7" x14ac:dyDescent="0.25">
      <c r="A51" t="s">
        <v>32</v>
      </c>
    </row>
    <row r="52" spans="1:7" x14ac:dyDescent="0.25">
      <c r="B52" t="s">
        <v>0</v>
      </c>
      <c r="C52" t="s">
        <v>4</v>
      </c>
      <c r="D52" t="s">
        <v>1</v>
      </c>
      <c r="E52" t="s">
        <v>2</v>
      </c>
      <c r="F52" t="s">
        <v>3</v>
      </c>
    </row>
    <row r="53" spans="1:7" x14ac:dyDescent="0.25">
      <c r="B53">
        <v>24</v>
      </c>
      <c r="C53">
        <f>B53*3.99</f>
        <v>95.76</v>
      </c>
      <c r="D53">
        <v>84</v>
      </c>
      <c r="E53">
        <f t="shared" ref="E53:E64" si="9">D53*2.98</f>
        <v>250.32</v>
      </c>
      <c r="F53">
        <f>E53^(-1/0.88)</f>
        <v>1.8812082507593808E-3</v>
      </c>
      <c r="G53">
        <v>95.76</v>
      </c>
    </row>
    <row r="54" spans="1:7" x14ac:dyDescent="0.25">
      <c r="B54">
        <v>26</v>
      </c>
      <c r="C54">
        <f t="shared" ref="C54:C64" si="10">B54*3.99</f>
        <v>103.74000000000001</v>
      </c>
      <c r="D54">
        <v>36</v>
      </c>
      <c r="E54">
        <f t="shared" si="9"/>
        <v>107.28</v>
      </c>
      <c r="F54">
        <f>E54^(-1/0.88)</f>
        <v>4.9271106179707355E-3</v>
      </c>
      <c r="G54">
        <v>103.74000000000001</v>
      </c>
    </row>
    <row r="55" spans="1:7" x14ac:dyDescent="0.25">
      <c r="B55">
        <v>28</v>
      </c>
      <c r="C55">
        <f t="shared" si="10"/>
        <v>111.72</v>
      </c>
      <c r="D55">
        <v>34</v>
      </c>
      <c r="E55">
        <f t="shared" si="9"/>
        <v>101.32</v>
      </c>
      <c r="F55">
        <f>E55^(-1/0.88)</f>
        <v>5.2577620881723644E-3</v>
      </c>
      <c r="G55">
        <v>111.72</v>
      </c>
    </row>
    <row r="56" spans="1:7" x14ac:dyDescent="0.25">
      <c r="B56">
        <v>30</v>
      </c>
      <c r="C56">
        <f t="shared" si="10"/>
        <v>119.7</v>
      </c>
      <c r="D56">
        <v>31</v>
      </c>
      <c r="E56">
        <f t="shared" si="9"/>
        <v>92.38</v>
      </c>
      <c r="F56">
        <f t="shared" ref="F56:F62" si="11">E56^(-1/0.88)</f>
        <v>5.8396750879134646E-3</v>
      </c>
      <c r="G56">
        <v>119.7</v>
      </c>
    </row>
    <row r="57" spans="1:7" x14ac:dyDescent="0.25">
      <c r="B57">
        <v>32</v>
      </c>
      <c r="C57">
        <f t="shared" si="10"/>
        <v>127.68</v>
      </c>
      <c r="D57">
        <v>30</v>
      </c>
      <c r="E57">
        <f t="shared" si="9"/>
        <v>89.4</v>
      </c>
      <c r="F57">
        <f t="shared" si="11"/>
        <v>6.0613728780730567E-3</v>
      </c>
      <c r="G57">
        <v>127.68</v>
      </c>
    </row>
    <row r="58" spans="1:7" x14ac:dyDescent="0.25">
      <c r="B58">
        <v>34</v>
      </c>
      <c r="C58">
        <f t="shared" si="10"/>
        <v>135.66</v>
      </c>
      <c r="D58">
        <v>16</v>
      </c>
      <c r="E58">
        <f t="shared" si="9"/>
        <v>47.68</v>
      </c>
      <c r="F58">
        <f t="shared" si="11"/>
        <v>1.2382254315690646E-2</v>
      </c>
      <c r="G58">
        <v>135.66</v>
      </c>
    </row>
    <row r="59" spans="1:7" x14ac:dyDescent="0.25">
      <c r="B59">
        <v>36</v>
      </c>
      <c r="C59">
        <f t="shared" si="10"/>
        <v>143.64000000000001</v>
      </c>
      <c r="D59">
        <v>13</v>
      </c>
      <c r="E59">
        <f t="shared" si="9"/>
        <v>38.74</v>
      </c>
      <c r="F59">
        <f t="shared" si="11"/>
        <v>1.5677368375515564E-2</v>
      </c>
      <c r="G59">
        <v>143.64000000000001</v>
      </c>
    </row>
    <row r="60" spans="1:7" x14ac:dyDescent="0.25">
      <c r="B60">
        <v>38</v>
      </c>
      <c r="C60">
        <f t="shared" si="10"/>
        <v>151.62</v>
      </c>
      <c r="D60">
        <v>11</v>
      </c>
      <c r="E60">
        <f t="shared" si="9"/>
        <v>32.78</v>
      </c>
      <c r="F60">
        <f t="shared" si="11"/>
        <v>1.8954708205023315E-2</v>
      </c>
      <c r="G60">
        <v>151.62</v>
      </c>
    </row>
    <row r="61" spans="1:7" x14ac:dyDescent="0.25">
      <c r="B61">
        <v>40</v>
      </c>
      <c r="C61">
        <f t="shared" si="10"/>
        <v>159.60000000000002</v>
      </c>
      <c r="D61">
        <v>6</v>
      </c>
      <c r="E61">
        <f t="shared" si="9"/>
        <v>17.88</v>
      </c>
      <c r="F61">
        <f t="shared" si="11"/>
        <v>3.774462345940157E-2</v>
      </c>
      <c r="G61">
        <v>159.60000000000002</v>
      </c>
    </row>
    <row r="62" spans="1:7" x14ac:dyDescent="0.25">
      <c r="B62">
        <v>50</v>
      </c>
      <c r="C62">
        <f t="shared" si="10"/>
        <v>199.5</v>
      </c>
      <c r="E62">
        <f t="shared" si="9"/>
        <v>0</v>
      </c>
      <c r="F62" t="e">
        <f t="shared" si="11"/>
        <v>#DIV/0!</v>
      </c>
      <c r="G62">
        <v>199.5</v>
      </c>
    </row>
    <row r="63" spans="1:7" x14ac:dyDescent="0.25">
      <c r="B63">
        <v>60</v>
      </c>
      <c r="C63">
        <f t="shared" si="10"/>
        <v>239.4</v>
      </c>
      <c r="E63">
        <f t="shared" si="9"/>
        <v>0</v>
      </c>
      <c r="F63" t="e">
        <f>E63^(-1/0.88)</f>
        <v>#DIV/0!</v>
      </c>
      <c r="G63">
        <v>239.4</v>
      </c>
    </row>
    <row r="64" spans="1:7" x14ac:dyDescent="0.25">
      <c r="B64">
        <v>80</v>
      </c>
      <c r="C64">
        <f t="shared" si="10"/>
        <v>319.20000000000005</v>
      </c>
      <c r="E64">
        <f t="shared" si="9"/>
        <v>0</v>
      </c>
      <c r="F64" t="e">
        <f>E64^(-1/0.88)</f>
        <v>#DIV/0!</v>
      </c>
      <c r="G64">
        <v>319.20000000000005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topLeftCell="F1" workbookViewId="0">
      <selection activeCell="P2" sqref="P2:Q10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5.28515625" bestFit="1" customWidth="1"/>
    <col min="17" max="17" width="16.5703125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D3">
        <v>47</v>
      </c>
      <c r="E3">
        <f t="shared" ref="E3:E14" si="0">D3*2.98</f>
        <v>140.06</v>
      </c>
      <c r="F3">
        <f>E3^(-1/0.88)</f>
        <v>3.6392063325281759E-3</v>
      </c>
      <c r="G3">
        <v>95.76</v>
      </c>
      <c r="P3" t="s">
        <v>16</v>
      </c>
      <c r="Q3">
        <v>87.123000000000005</v>
      </c>
    </row>
    <row r="4" spans="1:17" x14ac:dyDescent="0.25">
      <c r="B4">
        <v>26</v>
      </c>
      <c r="C4">
        <f t="shared" ref="C4:C14" si="1">B4*3.99</f>
        <v>103.74000000000001</v>
      </c>
      <c r="D4">
        <v>45</v>
      </c>
      <c r="E4">
        <f t="shared" si="0"/>
        <v>134.1</v>
      </c>
      <c r="F4">
        <f>E4^(-1/0.88)</f>
        <v>3.8235546144592112E-3</v>
      </c>
      <c r="G4">
        <v>103.74000000000001</v>
      </c>
      <c r="P4" t="s">
        <v>17</v>
      </c>
    </row>
    <row r="5" spans="1:17" x14ac:dyDescent="0.25">
      <c r="B5">
        <v>28</v>
      </c>
      <c r="C5">
        <f t="shared" si="1"/>
        <v>111.72</v>
      </c>
      <c r="D5">
        <v>43</v>
      </c>
      <c r="E5">
        <f t="shared" si="0"/>
        <v>128.13999999999999</v>
      </c>
      <c r="F5">
        <f>E5^(-1/0.88)</f>
        <v>4.026277718217495E-3</v>
      </c>
      <c r="G5">
        <v>111.72</v>
      </c>
      <c r="P5" t="s">
        <v>18</v>
      </c>
      <c r="Q5">
        <v>78.721999999999994</v>
      </c>
    </row>
    <row r="6" spans="1:17" x14ac:dyDescent="0.25">
      <c r="B6">
        <v>30</v>
      </c>
      <c r="C6">
        <f t="shared" si="1"/>
        <v>119.7</v>
      </c>
      <c r="D6">
        <v>42</v>
      </c>
      <c r="E6">
        <f t="shared" si="0"/>
        <v>125.16</v>
      </c>
      <c r="F6">
        <f t="shared" ref="F6:F12" si="2">E6^(-1/0.88)</f>
        <v>4.1353894490911668E-3</v>
      </c>
      <c r="G6">
        <v>119.7</v>
      </c>
      <c r="P6" t="s">
        <v>19</v>
      </c>
      <c r="Q6">
        <v>82.033000000000001</v>
      </c>
    </row>
    <row r="7" spans="1:17" x14ac:dyDescent="0.25">
      <c r="B7">
        <v>32</v>
      </c>
      <c r="C7">
        <f t="shared" si="1"/>
        <v>127.68</v>
      </c>
      <c r="D7">
        <v>40</v>
      </c>
      <c r="E7">
        <f t="shared" si="0"/>
        <v>119.2</v>
      </c>
      <c r="F7">
        <f t="shared" si="2"/>
        <v>4.3711445081334706E-3</v>
      </c>
      <c r="G7">
        <v>127.68</v>
      </c>
      <c r="P7" t="s">
        <v>20</v>
      </c>
    </row>
    <row r="8" spans="1:17" x14ac:dyDescent="0.25">
      <c r="B8">
        <v>34</v>
      </c>
      <c r="C8">
        <f t="shared" si="1"/>
        <v>135.66</v>
      </c>
      <c r="D8">
        <v>39</v>
      </c>
      <c r="E8">
        <f t="shared" si="0"/>
        <v>116.22</v>
      </c>
      <c r="F8">
        <f t="shared" si="2"/>
        <v>4.4987298993004231E-3</v>
      </c>
      <c r="G8">
        <v>135.66</v>
      </c>
      <c r="P8" t="s">
        <v>21</v>
      </c>
    </row>
    <row r="9" spans="1:17" x14ac:dyDescent="0.25">
      <c r="B9">
        <v>36</v>
      </c>
      <c r="C9">
        <f t="shared" si="1"/>
        <v>143.64000000000001</v>
      </c>
      <c r="D9">
        <v>33</v>
      </c>
      <c r="E9">
        <f t="shared" si="0"/>
        <v>98.34</v>
      </c>
      <c r="F9">
        <f t="shared" si="2"/>
        <v>5.4391853589170489E-3</v>
      </c>
      <c r="G9">
        <v>143.64000000000001</v>
      </c>
      <c r="P9" t="s">
        <v>22</v>
      </c>
      <c r="Q9">
        <f>AVERAGE(Q3:Q8)</f>
        <v>82.625999999999991</v>
      </c>
    </row>
    <row r="10" spans="1:17" x14ac:dyDescent="0.25">
      <c r="B10">
        <v>38</v>
      </c>
      <c r="C10">
        <f t="shared" si="1"/>
        <v>151.62</v>
      </c>
      <c r="D10">
        <v>23</v>
      </c>
      <c r="E10">
        <f t="shared" si="0"/>
        <v>68.540000000000006</v>
      </c>
      <c r="F10">
        <f t="shared" si="2"/>
        <v>8.1978484653347193E-3</v>
      </c>
      <c r="G10">
        <v>151.62</v>
      </c>
      <c r="P10" t="s">
        <v>23</v>
      </c>
      <c r="Q10">
        <f>STDEV(Q3:Q8)</f>
        <v>4.2317770498928748</v>
      </c>
    </row>
    <row r="11" spans="1:17" x14ac:dyDescent="0.25">
      <c r="B11">
        <v>40</v>
      </c>
      <c r="C11">
        <f t="shared" si="1"/>
        <v>159.60000000000002</v>
      </c>
      <c r="D11">
        <v>18</v>
      </c>
      <c r="E11">
        <f t="shared" si="0"/>
        <v>53.64</v>
      </c>
      <c r="F11">
        <f t="shared" si="2"/>
        <v>1.0831082234429018E-2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E12">
        <f t="shared" si="0"/>
        <v>0</v>
      </c>
      <c r="F12" t="e">
        <f t="shared" si="2"/>
        <v>#DIV/0!</v>
      </c>
      <c r="G12">
        <v>199.5</v>
      </c>
    </row>
    <row r="13" spans="1:17" x14ac:dyDescent="0.25">
      <c r="B13">
        <v>60</v>
      </c>
      <c r="C13">
        <f t="shared" si="1"/>
        <v>239.4</v>
      </c>
      <c r="E13">
        <f t="shared" si="0"/>
        <v>0</v>
      </c>
      <c r="F13" t="e">
        <f>E13^(-1/0.88)</f>
        <v>#DIV/0!</v>
      </c>
      <c r="G13">
        <v>239.4</v>
      </c>
    </row>
    <row r="14" spans="1:17" x14ac:dyDescent="0.25">
      <c r="B14">
        <v>80</v>
      </c>
      <c r="C14">
        <f t="shared" si="1"/>
        <v>319.20000000000005</v>
      </c>
      <c r="E14">
        <f t="shared" si="0"/>
        <v>0</v>
      </c>
      <c r="F14" t="e">
        <f>E14^(-1/0.88)</f>
        <v>#DIV/0!</v>
      </c>
      <c r="G14">
        <v>319.2</v>
      </c>
    </row>
    <row r="18" spans="1:7" x14ac:dyDescent="0.25">
      <c r="A18" t="s">
        <v>25</v>
      </c>
    </row>
    <row r="19" spans="1:7" x14ac:dyDescent="0.25">
      <c r="B19" t="s">
        <v>0</v>
      </c>
      <c r="C19" t="s">
        <v>4</v>
      </c>
      <c r="D19" t="s">
        <v>1</v>
      </c>
      <c r="E19" t="s">
        <v>2</v>
      </c>
      <c r="F19" t="s">
        <v>3</v>
      </c>
    </row>
    <row r="20" spans="1:7" x14ac:dyDescent="0.25">
      <c r="B20">
        <v>24</v>
      </c>
      <c r="C20">
        <f>B20*3.99</f>
        <v>95.76</v>
      </c>
      <c r="D20">
        <v>46</v>
      </c>
      <c r="E20">
        <f t="shared" ref="E20:E31" si="3">D20*2.98</f>
        <v>137.08000000000001</v>
      </c>
      <c r="F20">
        <f>E20^(-1/0.88)</f>
        <v>3.7292401021267918E-3</v>
      </c>
      <c r="G20">
        <v>95.76</v>
      </c>
    </row>
    <row r="21" spans="1:7" x14ac:dyDescent="0.25">
      <c r="B21">
        <v>26</v>
      </c>
      <c r="C21">
        <f t="shared" ref="C21:C31" si="4">B21*3.99</f>
        <v>103.74000000000001</v>
      </c>
      <c r="D21">
        <v>43</v>
      </c>
      <c r="E21">
        <f t="shared" si="3"/>
        <v>128.13999999999999</v>
      </c>
      <c r="F21">
        <f>E21^(-1/0.88)</f>
        <v>4.026277718217495E-3</v>
      </c>
      <c r="G21">
        <v>103.74000000000001</v>
      </c>
    </row>
    <row r="22" spans="1:7" x14ac:dyDescent="0.25">
      <c r="B22">
        <v>28</v>
      </c>
      <c r="C22">
        <f t="shared" si="4"/>
        <v>111.72</v>
      </c>
      <c r="D22">
        <v>41</v>
      </c>
      <c r="E22">
        <f t="shared" si="3"/>
        <v>122.17999999999999</v>
      </c>
      <c r="F22">
        <f>E22^(-1/0.88)</f>
        <v>4.2501959551075989E-3</v>
      </c>
      <c r="G22">
        <v>111.72</v>
      </c>
    </row>
    <row r="23" spans="1:7" x14ac:dyDescent="0.25">
      <c r="B23">
        <v>30</v>
      </c>
      <c r="C23">
        <f t="shared" si="4"/>
        <v>119.7</v>
      </c>
      <c r="D23">
        <v>39</v>
      </c>
      <c r="E23">
        <f t="shared" si="3"/>
        <v>116.22</v>
      </c>
      <c r="F23">
        <f t="shared" ref="F23:F29" si="5">E23^(-1/0.88)</f>
        <v>4.4987298993004231E-3</v>
      </c>
      <c r="G23">
        <v>119.7</v>
      </c>
    </row>
    <row r="24" spans="1:7" x14ac:dyDescent="0.25">
      <c r="B24">
        <v>32</v>
      </c>
      <c r="C24">
        <f t="shared" si="4"/>
        <v>127.68</v>
      </c>
      <c r="D24">
        <v>37</v>
      </c>
      <c r="E24">
        <f t="shared" si="3"/>
        <v>110.26</v>
      </c>
      <c r="F24">
        <f t="shared" si="5"/>
        <v>4.7760676318044622E-3</v>
      </c>
      <c r="G24">
        <v>127.68</v>
      </c>
    </row>
    <row r="25" spans="1:7" x14ac:dyDescent="0.25">
      <c r="B25">
        <v>34</v>
      </c>
      <c r="C25">
        <f t="shared" si="4"/>
        <v>135.66</v>
      </c>
      <c r="D25">
        <v>34</v>
      </c>
      <c r="E25">
        <f t="shared" si="3"/>
        <v>101.32</v>
      </c>
      <c r="F25">
        <f t="shared" si="5"/>
        <v>5.2577620881723644E-3</v>
      </c>
      <c r="G25">
        <v>135.66</v>
      </c>
    </row>
    <row r="26" spans="1:7" x14ac:dyDescent="0.25">
      <c r="B26">
        <v>36</v>
      </c>
      <c r="C26">
        <f t="shared" si="4"/>
        <v>143.64000000000001</v>
      </c>
      <c r="D26">
        <v>10</v>
      </c>
      <c r="E26">
        <f t="shared" si="3"/>
        <v>29.8</v>
      </c>
      <c r="F26">
        <f t="shared" si="5"/>
        <v>2.1122934160970067E-2</v>
      </c>
      <c r="G26">
        <v>143.64000000000001</v>
      </c>
    </row>
    <row r="27" spans="1:7" x14ac:dyDescent="0.25">
      <c r="B27">
        <v>38</v>
      </c>
      <c r="C27">
        <f t="shared" si="4"/>
        <v>151.62</v>
      </c>
      <c r="D27">
        <v>10</v>
      </c>
      <c r="E27">
        <f t="shared" si="3"/>
        <v>29.8</v>
      </c>
      <c r="F27">
        <f t="shared" si="5"/>
        <v>2.1122934160970067E-2</v>
      </c>
      <c r="G27">
        <v>151.62</v>
      </c>
    </row>
    <row r="28" spans="1:7" x14ac:dyDescent="0.25">
      <c r="B28">
        <v>40</v>
      </c>
      <c r="C28">
        <f t="shared" si="4"/>
        <v>159.60000000000002</v>
      </c>
      <c r="D28">
        <v>10</v>
      </c>
      <c r="E28">
        <f t="shared" si="3"/>
        <v>29.8</v>
      </c>
      <c r="F28">
        <f t="shared" si="5"/>
        <v>2.1122934160970067E-2</v>
      </c>
      <c r="G28">
        <v>159.60000000000002</v>
      </c>
    </row>
    <row r="29" spans="1:7" x14ac:dyDescent="0.25">
      <c r="B29">
        <v>50</v>
      </c>
      <c r="C29">
        <f t="shared" si="4"/>
        <v>199.5</v>
      </c>
      <c r="E29">
        <f t="shared" si="3"/>
        <v>0</v>
      </c>
      <c r="F29" t="e">
        <f t="shared" si="5"/>
        <v>#DIV/0!</v>
      </c>
      <c r="G29">
        <v>199.5</v>
      </c>
    </row>
    <row r="30" spans="1:7" x14ac:dyDescent="0.25">
      <c r="B30">
        <v>60</v>
      </c>
      <c r="C30">
        <f t="shared" si="4"/>
        <v>239.4</v>
      </c>
      <c r="E30">
        <f t="shared" si="3"/>
        <v>0</v>
      </c>
      <c r="F30" t="e">
        <f>E30^(-1/0.88)</f>
        <v>#DIV/0!</v>
      </c>
      <c r="G30">
        <v>239.4</v>
      </c>
    </row>
    <row r="31" spans="1:7" x14ac:dyDescent="0.25">
      <c r="B31">
        <v>80</v>
      </c>
      <c r="C31">
        <f t="shared" si="4"/>
        <v>319.20000000000005</v>
      </c>
      <c r="E31">
        <f t="shared" si="3"/>
        <v>0</v>
      </c>
      <c r="F31" t="e">
        <f>E31^(-1/0.88)</f>
        <v>#DIV/0!</v>
      </c>
      <c r="G31">
        <v>319.20000000000005</v>
      </c>
    </row>
    <row r="34" spans="1:7" x14ac:dyDescent="0.25">
      <c r="A34" t="s">
        <v>7</v>
      </c>
    </row>
    <row r="35" spans="1:7" x14ac:dyDescent="0.25">
      <c r="B35" t="s">
        <v>0</v>
      </c>
      <c r="C35" t="s">
        <v>4</v>
      </c>
      <c r="D35" t="s">
        <v>1</v>
      </c>
      <c r="E35" t="s">
        <v>2</v>
      </c>
      <c r="F35" t="s">
        <v>3</v>
      </c>
    </row>
    <row r="36" spans="1:7" x14ac:dyDescent="0.25">
      <c r="B36">
        <v>24</v>
      </c>
      <c r="C36">
        <f>B36*3.99</f>
        <v>95.76</v>
      </c>
      <c r="D36">
        <v>37</v>
      </c>
      <c r="E36">
        <f t="shared" ref="E36:E47" si="6">D36*2.98</f>
        <v>110.26</v>
      </c>
      <c r="F36">
        <f>E36^(-1/0.88)</f>
        <v>4.7760676318044622E-3</v>
      </c>
      <c r="G36">
        <v>95.76</v>
      </c>
    </row>
    <row r="37" spans="1:7" x14ac:dyDescent="0.25">
      <c r="B37">
        <v>26</v>
      </c>
      <c r="C37">
        <f t="shared" ref="C37:C47" si="7">B37*3.99</f>
        <v>103.74000000000001</v>
      </c>
      <c r="D37">
        <v>36</v>
      </c>
      <c r="E37">
        <f t="shared" si="6"/>
        <v>107.28</v>
      </c>
      <c r="F37">
        <f>E37^(-1/0.88)</f>
        <v>4.9271106179707355E-3</v>
      </c>
      <c r="G37">
        <v>103.74000000000001</v>
      </c>
    </row>
    <row r="38" spans="1:7" x14ac:dyDescent="0.25">
      <c r="B38">
        <v>28</v>
      </c>
      <c r="C38">
        <f t="shared" si="7"/>
        <v>111.72</v>
      </c>
      <c r="D38">
        <v>21</v>
      </c>
      <c r="E38">
        <f t="shared" si="6"/>
        <v>62.58</v>
      </c>
      <c r="F38">
        <f>E38^(-1/0.88)</f>
        <v>9.0906713218758557E-3</v>
      </c>
      <c r="G38">
        <v>111.72</v>
      </c>
    </row>
    <row r="39" spans="1:7" x14ac:dyDescent="0.25">
      <c r="B39">
        <v>30</v>
      </c>
      <c r="C39">
        <f t="shared" si="7"/>
        <v>119.7</v>
      </c>
      <c r="D39">
        <v>21</v>
      </c>
      <c r="E39">
        <f t="shared" si="6"/>
        <v>62.58</v>
      </c>
      <c r="F39">
        <f t="shared" ref="F39:F45" si="8">E39^(-1/0.88)</f>
        <v>9.0906713218758557E-3</v>
      </c>
      <c r="G39">
        <v>119.7</v>
      </c>
    </row>
    <row r="40" spans="1:7" x14ac:dyDescent="0.25">
      <c r="B40">
        <v>32</v>
      </c>
      <c r="C40">
        <f t="shared" si="7"/>
        <v>127.68</v>
      </c>
      <c r="D40">
        <v>19</v>
      </c>
      <c r="E40">
        <f t="shared" si="6"/>
        <v>56.62</v>
      </c>
      <c r="F40">
        <f t="shared" si="8"/>
        <v>1.0185650959234835E-2</v>
      </c>
      <c r="G40">
        <v>127.68</v>
      </c>
    </row>
    <row r="41" spans="1:7" x14ac:dyDescent="0.25">
      <c r="B41">
        <v>34</v>
      </c>
      <c r="C41">
        <f t="shared" si="7"/>
        <v>135.66</v>
      </c>
      <c r="D41">
        <v>14</v>
      </c>
      <c r="E41">
        <f t="shared" si="6"/>
        <v>41.72</v>
      </c>
      <c r="F41">
        <f t="shared" si="8"/>
        <v>1.4411183872075611E-2</v>
      </c>
      <c r="G41">
        <v>135.66</v>
      </c>
    </row>
    <row r="42" spans="1:7" x14ac:dyDescent="0.25">
      <c r="B42">
        <v>36</v>
      </c>
      <c r="C42">
        <f t="shared" si="7"/>
        <v>143.64000000000001</v>
      </c>
      <c r="D42">
        <v>13</v>
      </c>
      <c r="E42">
        <f t="shared" si="6"/>
        <v>38.74</v>
      </c>
      <c r="F42">
        <f t="shared" si="8"/>
        <v>1.5677368375515564E-2</v>
      </c>
      <c r="G42">
        <v>143.64000000000001</v>
      </c>
    </row>
    <row r="43" spans="1:7" x14ac:dyDescent="0.25">
      <c r="B43">
        <v>38</v>
      </c>
      <c r="C43">
        <f t="shared" si="7"/>
        <v>151.62</v>
      </c>
      <c r="D43">
        <v>13</v>
      </c>
      <c r="E43">
        <f t="shared" si="6"/>
        <v>38.74</v>
      </c>
      <c r="F43">
        <f t="shared" si="8"/>
        <v>1.5677368375515564E-2</v>
      </c>
      <c r="G43">
        <v>151.62</v>
      </c>
    </row>
    <row r="44" spans="1:7" x14ac:dyDescent="0.25">
      <c r="B44">
        <v>40</v>
      </c>
      <c r="C44">
        <f t="shared" si="7"/>
        <v>159.60000000000002</v>
      </c>
      <c r="D44">
        <v>4</v>
      </c>
      <c r="E44">
        <f t="shared" si="6"/>
        <v>11.92</v>
      </c>
      <c r="F44">
        <f t="shared" si="8"/>
        <v>5.9835482946869113E-2</v>
      </c>
      <c r="G44">
        <v>159.60000000000002</v>
      </c>
    </row>
    <row r="45" spans="1:7" x14ac:dyDescent="0.25">
      <c r="B45">
        <v>50</v>
      </c>
      <c r="C45">
        <f t="shared" si="7"/>
        <v>199.5</v>
      </c>
      <c r="E45">
        <f t="shared" si="6"/>
        <v>0</v>
      </c>
      <c r="F45" t="e">
        <f t="shared" si="8"/>
        <v>#DIV/0!</v>
      </c>
      <c r="G45">
        <v>199.5</v>
      </c>
    </row>
    <row r="46" spans="1:7" x14ac:dyDescent="0.25">
      <c r="B46">
        <v>60</v>
      </c>
      <c r="C46">
        <f t="shared" si="7"/>
        <v>239.4</v>
      </c>
      <c r="E46">
        <f t="shared" si="6"/>
        <v>0</v>
      </c>
      <c r="F46" t="e">
        <f>E46^(-1/0.88)</f>
        <v>#DIV/0!</v>
      </c>
      <c r="G46">
        <v>239.4</v>
      </c>
    </row>
    <row r="47" spans="1:7" x14ac:dyDescent="0.25">
      <c r="B47">
        <v>80</v>
      </c>
      <c r="C47">
        <f t="shared" si="7"/>
        <v>319.20000000000005</v>
      </c>
      <c r="E47">
        <f t="shared" si="6"/>
        <v>0</v>
      </c>
      <c r="F47" t="e">
        <f>E47^(-1/0.88)</f>
        <v>#DIV/0!</v>
      </c>
      <c r="G47">
        <v>319.20000000000005</v>
      </c>
    </row>
    <row r="50" spans="1:7" x14ac:dyDescent="0.25">
      <c r="A50" t="s">
        <v>8</v>
      </c>
    </row>
    <row r="51" spans="1:7" x14ac:dyDescent="0.25">
      <c r="B51" t="s">
        <v>0</v>
      </c>
      <c r="C51" t="s">
        <v>4</v>
      </c>
      <c r="D51" t="s">
        <v>1</v>
      </c>
      <c r="E51" t="s">
        <v>2</v>
      </c>
      <c r="F51" t="s">
        <v>3</v>
      </c>
    </row>
    <row r="52" spans="1:7" x14ac:dyDescent="0.25">
      <c r="B52">
        <v>24</v>
      </c>
      <c r="C52">
        <f>B52*3.99</f>
        <v>95.76</v>
      </c>
      <c r="D52">
        <v>33</v>
      </c>
      <c r="E52">
        <f t="shared" ref="E52:E63" si="9">D52*2.98</f>
        <v>98.34</v>
      </c>
      <c r="F52">
        <f>E52^(-1/0.88)</f>
        <v>5.4391853589170489E-3</v>
      </c>
      <c r="G52">
        <v>95.76</v>
      </c>
    </row>
    <row r="53" spans="1:7" x14ac:dyDescent="0.25">
      <c r="B53">
        <v>26</v>
      </c>
      <c r="C53">
        <f t="shared" ref="C53:C63" si="10">B53*3.99</f>
        <v>103.74000000000001</v>
      </c>
      <c r="D53">
        <v>31</v>
      </c>
      <c r="E53">
        <f t="shared" si="9"/>
        <v>92.38</v>
      </c>
      <c r="F53">
        <f>E53^(-1/0.88)</f>
        <v>5.8396750879134646E-3</v>
      </c>
      <c r="G53">
        <v>103.74000000000001</v>
      </c>
    </row>
    <row r="54" spans="1:7" x14ac:dyDescent="0.25">
      <c r="B54">
        <v>28</v>
      </c>
      <c r="C54">
        <f t="shared" si="10"/>
        <v>111.72</v>
      </c>
      <c r="D54">
        <v>26</v>
      </c>
      <c r="E54">
        <f t="shared" si="9"/>
        <v>77.48</v>
      </c>
      <c r="F54">
        <f>E54^(-1/0.88)</f>
        <v>7.1317091416131561E-3</v>
      </c>
      <c r="G54">
        <v>111.72</v>
      </c>
    </row>
    <row r="55" spans="1:7" x14ac:dyDescent="0.25">
      <c r="B55">
        <v>30</v>
      </c>
      <c r="C55">
        <f t="shared" si="10"/>
        <v>119.7</v>
      </c>
      <c r="D55">
        <v>25</v>
      </c>
      <c r="E55">
        <f t="shared" si="9"/>
        <v>74.5</v>
      </c>
      <c r="F55">
        <f t="shared" ref="F55:F61" si="11">E55^(-1/0.88)</f>
        <v>7.4567518401223581E-3</v>
      </c>
      <c r="G55">
        <v>119.7</v>
      </c>
    </row>
    <row r="56" spans="1:7" x14ac:dyDescent="0.25">
      <c r="B56">
        <v>32</v>
      </c>
      <c r="C56">
        <f t="shared" si="10"/>
        <v>127.68</v>
      </c>
      <c r="D56">
        <v>24</v>
      </c>
      <c r="E56">
        <f t="shared" si="9"/>
        <v>71.52</v>
      </c>
      <c r="F56">
        <f t="shared" si="11"/>
        <v>7.8108089666342031E-3</v>
      </c>
      <c r="G56">
        <v>127.68</v>
      </c>
    </row>
    <row r="57" spans="1:7" x14ac:dyDescent="0.25">
      <c r="B57">
        <v>34</v>
      </c>
      <c r="C57">
        <f t="shared" si="10"/>
        <v>135.66</v>
      </c>
      <c r="D57">
        <v>19</v>
      </c>
      <c r="E57">
        <f t="shared" si="9"/>
        <v>56.62</v>
      </c>
      <c r="F57">
        <f t="shared" si="11"/>
        <v>1.0185650959234835E-2</v>
      </c>
      <c r="G57">
        <v>135.66</v>
      </c>
    </row>
    <row r="58" spans="1:7" x14ac:dyDescent="0.25">
      <c r="B58">
        <v>36</v>
      </c>
      <c r="C58">
        <f t="shared" si="10"/>
        <v>143.64000000000001</v>
      </c>
      <c r="D58">
        <v>16</v>
      </c>
      <c r="E58">
        <f t="shared" si="9"/>
        <v>47.68</v>
      </c>
      <c r="F58">
        <f t="shared" si="11"/>
        <v>1.2382254315690646E-2</v>
      </c>
      <c r="G58">
        <v>143.64000000000001</v>
      </c>
    </row>
    <row r="59" spans="1:7" x14ac:dyDescent="0.25">
      <c r="B59">
        <v>38</v>
      </c>
      <c r="C59">
        <f t="shared" si="10"/>
        <v>151.62</v>
      </c>
      <c r="D59">
        <v>12</v>
      </c>
      <c r="E59">
        <f t="shared" si="9"/>
        <v>35.76</v>
      </c>
      <c r="F59">
        <f t="shared" si="11"/>
        <v>1.7170208017345791E-2</v>
      </c>
      <c r="G59">
        <v>151.62</v>
      </c>
    </row>
    <row r="60" spans="1:7" x14ac:dyDescent="0.25">
      <c r="B60">
        <v>40</v>
      </c>
      <c r="C60">
        <f t="shared" si="10"/>
        <v>159.60000000000002</v>
      </c>
      <c r="E60">
        <f t="shared" si="9"/>
        <v>0</v>
      </c>
      <c r="F60" t="e">
        <f t="shared" si="11"/>
        <v>#DIV/0!</v>
      </c>
      <c r="G60">
        <v>159.60000000000002</v>
      </c>
    </row>
    <row r="61" spans="1:7" x14ac:dyDescent="0.25">
      <c r="B61">
        <v>50</v>
      </c>
      <c r="C61">
        <f t="shared" si="10"/>
        <v>199.5</v>
      </c>
      <c r="E61">
        <f t="shared" si="9"/>
        <v>0</v>
      </c>
      <c r="F61" t="e">
        <f t="shared" si="11"/>
        <v>#DIV/0!</v>
      </c>
      <c r="G61">
        <v>199.5</v>
      </c>
    </row>
    <row r="62" spans="1:7" x14ac:dyDescent="0.25">
      <c r="B62">
        <v>60</v>
      </c>
      <c r="C62">
        <f t="shared" si="10"/>
        <v>239.4</v>
      </c>
      <c r="E62">
        <f t="shared" si="9"/>
        <v>0</v>
      </c>
      <c r="F62" t="e">
        <f>E62^(-1/0.88)</f>
        <v>#DIV/0!</v>
      </c>
      <c r="G62">
        <v>239.4</v>
      </c>
    </row>
    <row r="63" spans="1:7" x14ac:dyDescent="0.25">
      <c r="B63">
        <v>80</v>
      </c>
      <c r="C63">
        <f t="shared" si="10"/>
        <v>319.20000000000005</v>
      </c>
      <c r="E63">
        <f t="shared" si="9"/>
        <v>0</v>
      </c>
      <c r="F63" t="e">
        <f>E63^(-1/0.88)</f>
        <v>#DIV/0!</v>
      </c>
      <c r="G63">
        <v>319.20000000000005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"/>
  <sheetViews>
    <sheetView workbookViewId="0">
      <selection activeCell="P2" sqref="P2:Q10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8" bestFit="1" customWidth="1"/>
    <col min="17" max="17" width="20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D3">
        <v>80</v>
      </c>
      <c r="E3">
        <f t="shared" ref="E3:E14" si="0">D3*2.98</f>
        <v>238.4</v>
      </c>
      <c r="F3">
        <f>E3^(-1/0.88)</f>
        <v>1.9884543439480438E-3</v>
      </c>
      <c r="G3">
        <v>95.76</v>
      </c>
      <c r="P3" t="s">
        <v>16</v>
      </c>
      <c r="Q3">
        <v>115.15</v>
      </c>
    </row>
    <row r="4" spans="1:17" x14ac:dyDescent="0.25">
      <c r="B4">
        <v>26</v>
      </c>
      <c r="C4">
        <f t="shared" ref="C4:C14" si="1">B4*3.99</f>
        <v>103.74000000000001</v>
      </c>
      <c r="D4">
        <v>80</v>
      </c>
      <c r="E4">
        <f t="shared" si="0"/>
        <v>238.4</v>
      </c>
      <c r="F4">
        <f>E4^(-1/0.88)</f>
        <v>1.9884543439480438E-3</v>
      </c>
      <c r="G4">
        <v>103.74000000000001</v>
      </c>
      <c r="P4" t="s">
        <v>17</v>
      </c>
      <c r="Q4">
        <v>63.57</v>
      </c>
    </row>
    <row r="5" spans="1:17" x14ac:dyDescent="0.25">
      <c r="B5">
        <v>28</v>
      </c>
      <c r="C5">
        <f t="shared" si="1"/>
        <v>111.72</v>
      </c>
      <c r="D5">
        <v>80</v>
      </c>
      <c r="E5">
        <f t="shared" si="0"/>
        <v>238.4</v>
      </c>
      <c r="F5">
        <f>E5^(-1/0.88)</f>
        <v>1.9884543439480438E-3</v>
      </c>
      <c r="G5">
        <v>111.72</v>
      </c>
      <c r="P5" t="s">
        <v>18</v>
      </c>
      <c r="Q5">
        <v>102.76</v>
      </c>
    </row>
    <row r="6" spans="1:17" x14ac:dyDescent="0.25">
      <c r="B6">
        <v>30</v>
      </c>
      <c r="C6">
        <f t="shared" si="1"/>
        <v>119.7</v>
      </c>
      <c r="D6">
        <v>79</v>
      </c>
      <c r="E6">
        <f t="shared" si="0"/>
        <v>235.42</v>
      </c>
      <c r="F6">
        <f t="shared" ref="F6:F12" si="2">E6^(-1/0.88)</f>
        <v>2.0170815632259611E-3</v>
      </c>
      <c r="G6">
        <v>119.7</v>
      </c>
      <c r="P6" t="s">
        <v>19</v>
      </c>
      <c r="Q6">
        <v>70.599999999999994</v>
      </c>
    </row>
    <row r="7" spans="1:17" x14ac:dyDescent="0.25">
      <c r="B7">
        <v>32</v>
      </c>
      <c r="C7">
        <f t="shared" si="1"/>
        <v>127.68</v>
      </c>
      <c r="D7">
        <v>79</v>
      </c>
      <c r="E7">
        <f t="shared" si="0"/>
        <v>235.42</v>
      </c>
      <c r="F7">
        <f t="shared" si="2"/>
        <v>2.0170815632259611E-3</v>
      </c>
      <c r="G7">
        <v>127.68</v>
      </c>
      <c r="P7" t="s">
        <v>20</v>
      </c>
    </row>
    <row r="8" spans="1:17" x14ac:dyDescent="0.25">
      <c r="B8">
        <v>34</v>
      </c>
      <c r="C8">
        <f t="shared" si="1"/>
        <v>135.66</v>
      </c>
      <c r="D8">
        <v>79</v>
      </c>
      <c r="E8">
        <f t="shared" si="0"/>
        <v>235.42</v>
      </c>
      <c r="F8">
        <f t="shared" si="2"/>
        <v>2.0170815632259611E-3</v>
      </c>
      <c r="G8">
        <v>135.66</v>
      </c>
      <c r="P8" t="s">
        <v>21</v>
      </c>
    </row>
    <row r="9" spans="1:17" x14ac:dyDescent="0.25">
      <c r="B9">
        <v>36</v>
      </c>
      <c r="C9">
        <f t="shared" si="1"/>
        <v>143.64000000000001</v>
      </c>
      <c r="D9">
        <v>79</v>
      </c>
      <c r="E9">
        <f t="shared" si="0"/>
        <v>235.42</v>
      </c>
      <c r="F9">
        <f t="shared" si="2"/>
        <v>2.0170815632259611E-3</v>
      </c>
      <c r="G9">
        <v>143.64000000000001</v>
      </c>
      <c r="P9" t="s">
        <v>22</v>
      </c>
      <c r="Q9">
        <f>AVERAGE(Q3:Q8)</f>
        <v>88.02000000000001</v>
      </c>
    </row>
    <row r="10" spans="1:17" x14ac:dyDescent="0.25">
      <c r="B10">
        <v>38</v>
      </c>
      <c r="C10">
        <f t="shared" si="1"/>
        <v>151.62</v>
      </c>
      <c r="D10">
        <v>12</v>
      </c>
      <c r="E10">
        <f t="shared" si="0"/>
        <v>35.76</v>
      </c>
      <c r="F10">
        <f t="shared" si="2"/>
        <v>1.7170208017345791E-2</v>
      </c>
      <c r="G10">
        <v>151.62</v>
      </c>
      <c r="P10" t="s">
        <v>23</v>
      </c>
      <c r="Q10">
        <f>STDEV(Q3:Q8)</f>
        <v>24.863382714345175</v>
      </c>
    </row>
    <row r="11" spans="1:17" x14ac:dyDescent="0.25">
      <c r="B11">
        <v>40</v>
      </c>
      <c r="C11">
        <f t="shared" si="1"/>
        <v>159.60000000000002</v>
      </c>
      <c r="D11">
        <v>11</v>
      </c>
      <c r="E11">
        <f t="shared" si="0"/>
        <v>32.78</v>
      </c>
      <c r="F11">
        <f t="shared" si="2"/>
        <v>1.8954708205023315E-2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E12">
        <f t="shared" si="0"/>
        <v>0</v>
      </c>
      <c r="F12" t="e">
        <f t="shared" si="2"/>
        <v>#DIV/0!</v>
      </c>
      <c r="G12">
        <v>199.5</v>
      </c>
    </row>
    <row r="13" spans="1:17" x14ac:dyDescent="0.25">
      <c r="B13">
        <v>60</v>
      </c>
      <c r="C13">
        <f t="shared" si="1"/>
        <v>239.4</v>
      </c>
      <c r="E13">
        <f t="shared" si="0"/>
        <v>0</v>
      </c>
      <c r="F13" t="e">
        <f>E13^(-1/0.88)</f>
        <v>#DIV/0!</v>
      </c>
      <c r="G13">
        <v>239.4</v>
      </c>
    </row>
    <row r="14" spans="1:17" x14ac:dyDescent="0.25">
      <c r="B14">
        <v>80</v>
      </c>
      <c r="C14">
        <f t="shared" si="1"/>
        <v>319.20000000000005</v>
      </c>
      <c r="E14">
        <f t="shared" si="0"/>
        <v>0</v>
      </c>
      <c r="F14" t="e">
        <f>E14^(-1/0.88)</f>
        <v>#DIV/0!</v>
      </c>
      <c r="G14">
        <v>319.20000000000005</v>
      </c>
    </row>
    <row r="17" spans="1:7" x14ac:dyDescent="0.25">
      <c r="A17" t="s">
        <v>25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D19">
        <v>24</v>
      </c>
      <c r="E19">
        <f t="shared" ref="E19:E30" si="3">D19*2.98</f>
        <v>71.52</v>
      </c>
      <c r="F19">
        <f>E19^(-1/0.88)</f>
        <v>7.8108089666342031E-3</v>
      </c>
      <c r="G19">
        <v>95.76</v>
      </c>
    </row>
    <row r="20" spans="1:7" x14ac:dyDescent="0.25">
      <c r="B20">
        <v>26</v>
      </c>
      <c r="C20">
        <f t="shared" ref="C20:C30" si="4">B20*3.99</f>
        <v>103.74000000000001</v>
      </c>
      <c r="D20">
        <v>19</v>
      </c>
      <c r="E20">
        <f t="shared" si="3"/>
        <v>56.62</v>
      </c>
      <c r="F20">
        <f>E20^(-1/0.88)</f>
        <v>1.0185650959234835E-2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D21">
        <v>17</v>
      </c>
      <c r="E21">
        <f t="shared" si="3"/>
        <v>50.66</v>
      </c>
      <c r="F21">
        <f>E21^(-1/0.88)</f>
        <v>1.1557940943796448E-2</v>
      </c>
      <c r="G21">
        <v>111.72</v>
      </c>
    </row>
    <row r="22" spans="1:7" x14ac:dyDescent="0.25">
      <c r="B22">
        <v>30</v>
      </c>
      <c r="C22">
        <f t="shared" si="4"/>
        <v>119.7</v>
      </c>
      <c r="D22">
        <v>16</v>
      </c>
      <c r="E22">
        <f t="shared" si="3"/>
        <v>47.68</v>
      </c>
      <c r="F22">
        <f t="shared" ref="F22:F28" si="5">E22^(-1/0.88)</f>
        <v>1.2382254315690646E-2</v>
      </c>
      <c r="G22">
        <v>119.7</v>
      </c>
    </row>
    <row r="23" spans="1:7" x14ac:dyDescent="0.25">
      <c r="B23">
        <v>32</v>
      </c>
      <c r="C23">
        <f t="shared" si="4"/>
        <v>127.68</v>
      </c>
      <c r="D23">
        <v>14</v>
      </c>
      <c r="E23">
        <f t="shared" si="3"/>
        <v>41.72</v>
      </c>
      <c r="F23">
        <f t="shared" si="5"/>
        <v>1.4411183872075611E-2</v>
      </c>
      <c r="G23">
        <v>127.68</v>
      </c>
    </row>
    <row r="24" spans="1:7" x14ac:dyDescent="0.25">
      <c r="B24">
        <v>34</v>
      </c>
      <c r="C24">
        <f t="shared" si="4"/>
        <v>135.66</v>
      </c>
      <c r="D24">
        <v>13</v>
      </c>
      <c r="E24">
        <f t="shared" si="3"/>
        <v>38.74</v>
      </c>
      <c r="F24">
        <f t="shared" si="5"/>
        <v>1.5677368375515564E-2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12</v>
      </c>
      <c r="E25">
        <f t="shared" si="3"/>
        <v>35.76</v>
      </c>
      <c r="F25">
        <f t="shared" si="5"/>
        <v>1.7170208017345791E-2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11</v>
      </c>
      <c r="E26">
        <f t="shared" si="3"/>
        <v>32.78</v>
      </c>
      <c r="F26">
        <f t="shared" si="5"/>
        <v>1.8954708205023315E-2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9</v>
      </c>
      <c r="E27">
        <f t="shared" si="3"/>
        <v>26.82</v>
      </c>
      <c r="F27">
        <f t="shared" si="5"/>
        <v>2.380956131593407E-2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E28">
        <f t="shared" si="3"/>
        <v>0</v>
      </c>
      <c r="F28" t="e">
        <f t="shared" si="5"/>
        <v>#DIV/0!</v>
      </c>
      <c r="G28">
        <v>199.5</v>
      </c>
    </row>
    <row r="29" spans="1:7" x14ac:dyDescent="0.25">
      <c r="B29">
        <v>60</v>
      </c>
      <c r="C29">
        <f t="shared" si="4"/>
        <v>239.4</v>
      </c>
      <c r="E29">
        <f t="shared" si="3"/>
        <v>0</v>
      </c>
      <c r="F29" t="e">
        <f>E29^(-1/0.88)</f>
        <v>#DIV/0!</v>
      </c>
      <c r="G29">
        <v>239.4</v>
      </c>
    </row>
    <row r="30" spans="1:7" x14ac:dyDescent="0.25">
      <c r="B30">
        <v>80</v>
      </c>
      <c r="C30">
        <f t="shared" si="4"/>
        <v>319.20000000000005</v>
      </c>
      <c r="E30">
        <f t="shared" si="3"/>
        <v>0</v>
      </c>
      <c r="F30" t="e">
        <f>E30^(-1/0.88)</f>
        <v>#DIV/0!</v>
      </c>
      <c r="G30">
        <v>319.20000000000005</v>
      </c>
    </row>
    <row r="33" spans="1:7" x14ac:dyDescent="0.25">
      <c r="A33" t="s">
        <v>7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D35">
        <v>53</v>
      </c>
      <c r="E35">
        <f t="shared" ref="E35:E46" si="6">D35*2.98</f>
        <v>157.94</v>
      </c>
      <c r="F35">
        <f>E35^(-1/0.88)</f>
        <v>3.1747788941022567E-3</v>
      </c>
      <c r="G35">
        <v>95.76</v>
      </c>
    </row>
    <row r="36" spans="1:7" x14ac:dyDescent="0.25">
      <c r="B36">
        <v>26</v>
      </c>
      <c r="C36">
        <f t="shared" ref="C36:C46" si="7">B36*3.99</f>
        <v>103.74000000000001</v>
      </c>
      <c r="D36">
        <v>52</v>
      </c>
      <c r="E36">
        <f t="shared" si="6"/>
        <v>154.96</v>
      </c>
      <c r="F36">
        <f>E36^(-1/0.88)</f>
        <v>3.2442482731988519E-3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D37">
        <v>51</v>
      </c>
      <c r="E37">
        <f t="shared" si="6"/>
        <v>151.97999999999999</v>
      </c>
      <c r="F37">
        <f>E37^(-1/0.88)</f>
        <v>3.3166315450883603E-3</v>
      </c>
      <c r="G37">
        <v>111.72</v>
      </c>
    </row>
    <row r="38" spans="1:7" x14ac:dyDescent="0.25">
      <c r="B38">
        <v>30</v>
      </c>
      <c r="C38">
        <f t="shared" si="7"/>
        <v>119.7</v>
      </c>
      <c r="D38">
        <v>51</v>
      </c>
      <c r="E38">
        <f t="shared" si="6"/>
        <v>151.97999999999999</v>
      </c>
      <c r="F38">
        <f t="shared" ref="F38:F44" si="8">E38^(-1/0.88)</f>
        <v>3.3166315450883603E-3</v>
      </c>
      <c r="G38">
        <v>119.7</v>
      </c>
    </row>
    <row r="39" spans="1:7" x14ac:dyDescent="0.25">
      <c r="B39">
        <v>32</v>
      </c>
      <c r="C39">
        <f t="shared" si="7"/>
        <v>127.68</v>
      </c>
      <c r="D39">
        <v>50</v>
      </c>
      <c r="E39">
        <f t="shared" si="6"/>
        <v>149</v>
      </c>
      <c r="F39">
        <f t="shared" si="8"/>
        <v>3.3921117365587512E-3</v>
      </c>
      <c r="G39">
        <v>127.68</v>
      </c>
    </row>
    <row r="40" spans="1:7" x14ac:dyDescent="0.25">
      <c r="B40">
        <v>34</v>
      </c>
      <c r="C40">
        <f t="shared" si="7"/>
        <v>135.66</v>
      </c>
      <c r="D40">
        <v>49</v>
      </c>
      <c r="E40">
        <f t="shared" si="6"/>
        <v>146.02000000000001</v>
      </c>
      <c r="F40">
        <f t="shared" si="8"/>
        <v>3.4708873458777541E-3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D41">
        <v>20</v>
      </c>
      <c r="E41">
        <f t="shared" si="6"/>
        <v>59.6</v>
      </c>
      <c r="F41">
        <f t="shared" si="8"/>
        <v>9.6089228144152165E-3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D42">
        <v>19</v>
      </c>
      <c r="E42">
        <f t="shared" si="6"/>
        <v>56.62</v>
      </c>
      <c r="F42">
        <f t="shared" si="8"/>
        <v>1.0185650959234835E-2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D43">
        <v>17</v>
      </c>
      <c r="E43">
        <f t="shared" si="6"/>
        <v>50.66</v>
      </c>
      <c r="F43">
        <f t="shared" si="8"/>
        <v>1.1557940943796448E-2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D44">
        <v>9</v>
      </c>
      <c r="E44">
        <f t="shared" si="6"/>
        <v>26.82</v>
      </c>
      <c r="F44">
        <f t="shared" si="8"/>
        <v>2.380956131593407E-2</v>
      </c>
      <c r="G44">
        <v>199.5</v>
      </c>
    </row>
    <row r="45" spans="1:7" x14ac:dyDescent="0.25">
      <c r="B45">
        <v>60</v>
      </c>
      <c r="C45">
        <f t="shared" si="7"/>
        <v>239.4</v>
      </c>
      <c r="E45">
        <f t="shared" si="6"/>
        <v>0</v>
      </c>
      <c r="F45" t="e">
        <f>E45^(-1/0.88)</f>
        <v>#DIV/0!</v>
      </c>
      <c r="G45">
        <v>239.4</v>
      </c>
    </row>
    <row r="46" spans="1:7" x14ac:dyDescent="0.25">
      <c r="B46">
        <v>80</v>
      </c>
      <c r="C46">
        <f t="shared" si="7"/>
        <v>319.20000000000005</v>
      </c>
      <c r="E46">
        <f t="shared" si="6"/>
        <v>0</v>
      </c>
      <c r="F46" t="e">
        <f>E46^(-1/0.88)</f>
        <v>#DIV/0!</v>
      </c>
      <c r="G46">
        <v>319.20000000000005</v>
      </c>
    </row>
    <row r="48" spans="1:7" x14ac:dyDescent="0.25">
      <c r="A48" t="s">
        <v>8</v>
      </c>
    </row>
    <row r="49" spans="2:7" x14ac:dyDescent="0.25">
      <c r="B49" t="s">
        <v>0</v>
      </c>
      <c r="C49" t="s">
        <v>4</v>
      </c>
      <c r="D49" t="s">
        <v>1</v>
      </c>
      <c r="E49" t="s">
        <v>2</v>
      </c>
      <c r="F49" t="s">
        <v>3</v>
      </c>
    </row>
    <row r="50" spans="2:7" x14ac:dyDescent="0.25">
      <c r="B50">
        <v>24</v>
      </c>
      <c r="C50">
        <f>B50*3.99</f>
        <v>95.76</v>
      </c>
      <c r="D50">
        <v>44</v>
      </c>
      <c r="E50">
        <f t="shared" ref="E50:E61" si="9">D50*2.98</f>
        <v>131.12</v>
      </c>
      <c r="F50">
        <f>E50^(-1/0.88)</f>
        <v>3.922455471491895E-3</v>
      </c>
      <c r="G50">
        <v>95.76</v>
      </c>
    </row>
    <row r="51" spans="2:7" x14ac:dyDescent="0.25">
      <c r="B51">
        <v>26</v>
      </c>
      <c r="C51">
        <f t="shared" ref="C51:C61" si="10">B51*3.99</f>
        <v>103.74000000000001</v>
      </c>
      <c r="D51">
        <v>42</v>
      </c>
      <c r="E51">
        <f t="shared" si="9"/>
        <v>125.16</v>
      </c>
      <c r="F51">
        <f>E51^(-1/0.88)</f>
        <v>4.1353894490911668E-3</v>
      </c>
      <c r="G51">
        <v>103.74000000000001</v>
      </c>
    </row>
    <row r="52" spans="2:7" x14ac:dyDescent="0.25">
      <c r="B52">
        <v>28</v>
      </c>
      <c r="C52">
        <f t="shared" si="10"/>
        <v>111.72</v>
      </c>
      <c r="D52">
        <v>38</v>
      </c>
      <c r="E52">
        <f t="shared" si="9"/>
        <v>113.24</v>
      </c>
      <c r="F52">
        <f>E52^(-1/0.88)</f>
        <v>4.6335008733165064E-3</v>
      </c>
      <c r="G52">
        <v>111.72</v>
      </c>
    </row>
    <row r="53" spans="2:7" x14ac:dyDescent="0.25">
      <c r="B53">
        <v>30</v>
      </c>
      <c r="C53">
        <f t="shared" si="10"/>
        <v>119.7</v>
      </c>
      <c r="D53">
        <v>28</v>
      </c>
      <c r="E53">
        <f t="shared" si="9"/>
        <v>83.44</v>
      </c>
      <c r="F53">
        <f t="shared" ref="F53:F59" si="11">E53^(-1/0.88)</f>
        <v>6.5557158127675817E-3</v>
      </c>
      <c r="G53">
        <v>119.7</v>
      </c>
    </row>
    <row r="54" spans="2:7" x14ac:dyDescent="0.25">
      <c r="B54">
        <v>32</v>
      </c>
      <c r="C54">
        <f t="shared" si="10"/>
        <v>127.68</v>
      </c>
      <c r="D54">
        <v>27</v>
      </c>
      <c r="E54">
        <f t="shared" si="9"/>
        <v>80.459999999999994</v>
      </c>
      <c r="F54">
        <f t="shared" si="11"/>
        <v>6.8323192270269553E-3</v>
      </c>
      <c r="G54">
        <v>127.68</v>
      </c>
    </row>
    <row r="55" spans="2:7" x14ac:dyDescent="0.25">
      <c r="B55">
        <v>34</v>
      </c>
      <c r="C55">
        <f t="shared" si="10"/>
        <v>135.66</v>
      </c>
      <c r="D55">
        <v>27</v>
      </c>
      <c r="E55">
        <f t="shared" si="9"/>
        <v>80.459999999999994</v>
      </c>
      <c r="F55">
        <f t="shared" si="11"/>
        <v>6.8323192270269553E-3</v>
      </c>
      <c r="G55">
        <v>135.66</v>
      </c>
    </row>
    <row r="56" spans="2:7" x14ac:dyDescent="0.25">
      <c r="B56">
        <v>36</v>
      </c>
      <c r="C56">
        <f t="shared" si="10"/>
        <v>143.64000000000001</v>
      </c>
      <c r="D56">
        <v>26</v>
      </c>
      <c r="E56">
        <f t="shared" si="9"/>
        <v>77.48</v>
      </c>
      <c r="F56">
        <f t="shared" si="11"/>
        <v>7.1317091416131561E-3</v>
      </c>
      <c r="G56">
        <v>143.64000000000001</v>
      </c>
    </row>
    <row r="57" spans="2:7" x14ac:dyDescent="0.25">
      <c r="B57">
        <v>38</v>
      </c>
      <c r="C57">
        <f t="shared" si="10"/>
        <v>151.62</v>
      </c>
      <c r="D57">
        <v>22</v>
      </c>
      <c r="E57">
        <f t="shared" si="9"/>
        <v>65.56</v>
      </c>
      <c r="F57">
        <f t="shared" si="11"/>
        <v>8.6225865556297E-3</v>
      </c>
      <c r="G57">
        <v>151.62</v>
      </c>
    </row>
    <row r="58" spans="2:7" x14ac:dyDescent="0.25">
      <c r="B58">
        <v>40</v>
      </c>
      <c r="C58">
        <f t="shared" si="10"/>
        <v>159.60000000000002</v>
      </c>
      <c r="D58">
        <v>17</v>
      </c>
      <c r="E58">
        <f t="shared" si="9"/>
        <v>50.66</v>
      </c>
      <c r="F58">
        <f t="shared" si="11"/>
        <v>1.1557940943796448E-2</v>
      </c>
      <c r="G58">
        <v>159.60000000000002</v>
      </c>
    </row>
    <row r="59" spans="2:7" x14ac:dyDescent="0.25">
      <c r="B59">
        <v>50</v>
      </c>
      <c r="C59">
        <f t="shared" si="10"/>
        <v>199.5</v>
      </c>
      <c r="E59">
        <f t="shared" si="9"/>
        <v>0</v>
      </c>
      <c r="F59" t="e">
        <f t="shared" si="11"/>
        <v>#DIV/0!</v>
      </c>
      <c r="G59">
        <v>199.5</v>
      </c>
    </row>
    <row r="60" spans="2:7" x14ac:dyDescent="0.25">
      <c r="B60">
        <v>60</v>
      </c>
      <c r="C60">
        <f t="shared" si="10"/>
        <v>239.4</v>
      </c>
      <c r="E60">
        <f t="shared" si="9"/>
        <v>0</v>
      </c>
      <c r="F60" t="e">
        <f>E60^(-1/0.88)</f>
        <v>#DIV/0!</v>
      </c>
      <c r="G60">
        <v>239.4</v>
      </c>
    </row>
    <row r="61" spans="2:7" x14ac:dyDescent="0.25">
      <c r="B61">
        <v>80</v>
      </c>
      <c r="C61">
        <f t="shared" si="10"/>
        <v>319.20000000000005</v>
      </c>
      <c r="E61">
        <f t="shared" si="9"/>
        <v>0</v>
      </c>
      <c r="F61" t="e">
        <f>E61^(-1/0.88)</f>
        <v>#DIV/0!</v>
      </c>
      <c r="G61">
        <v>319.20000000000005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9"/>
  <sheetViews>
    <sheetView workbookViewId="0">
      <selection sqref="A1:G12"/>
    </sheetView>
  </sheetViews>
  <sheetFormatPr defaultRowHeight="15" x14ac:dyDescent="0.25"/>
  <cols>
    <col min="1" max="1" width="10.42578125" bestFit="1" customWidth="1"/>
    <col min="2" max="2" width="6.28515625" bestFit="1" customWidth="1"/>
    <col min="3" max="3" width="19.140625" bestFit="1" customWidth="1"/>
    <col min="4" max="4" width="13.7109375" bestFit="1" customWidth="1"/>
    <col min="5" max="5" width="17.7109375" bestFit="1" customWidth="1"/>
    <col min="6" max="6" width="12" bestFit="1" customWidth="1"/>
    <col min="7" max="7" width="7" bestFit="1" customWidth="1"/>
    <col min="17" max="17" width="18" bestFit="1" customWidth="1"/>
    <col min="18" max="18" width="20" bestFit="1" customWidth="1"/>
  </cols>
  <sheetData>
    <row r="1" spans="1:18" x14ac:dyDescent="0.25">
      <c r="A1" t="s">
        <v>5</v>
      </c>
    </row>
    <row r="2" spans="1:18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Q2" t="s">
        <v>14</v>
      </c>
      <c r="R2" t="s">
        <v>15</v>
      </c>
    </row>
    <row r="3" spans="1:18" x14ac:dyDescent="0.25">
      <c r="B3">
        <v>24</v>
      </c>
      <c r="C3">
        <f>B3*3.99</f>
        <v>95.76</v>
      </c>
      <c r="E3">
        <f t="shared" ref="E3:E12" si="0">D3*2.98</f>
        <v>0</v>
      </c>
      <c r="F3" t="e">
        <f>E3^(-1/0.88)</f>
        <v>#DIV/0!</v>
      </c>
      <c r="G3">
        <v>95.76</v>
      </c>
      <c r="Q3" t="s">
        <v>16</v>
      </c>
      <c r="R3">
        <v>88.364999999999995</v>
      </c>
    </row>
    <row r="4" spans="1:18" x14ac:dyDescent="0.25">
      <c r="B4">
        <v>26</v>
      </c>
      <c r="C4">
        <f t="shared" ref="C4:C12" si="1">B4*3.99</f>
        <v>103.74000000000001</v>
      </c>
      <c r="D4">
        <v>188</v>
      </c>
      <c r="E4">
        <f t="shared" si="0"/>
        <v>560.24</v>
      </c>
      <c r="F4">
        <f>E4^(-1/0.88)</f>
        <v>7.5309124448194283E-4</v>
      </c>
      <c r="G4">
        <v>103.74000000000001</v>
      </c>
      <c r="Q4" t="s">
        <v>17</v>
      </c>
      <c r="R4">
        <v>97.558999999999997</v>
      </c>
    </row>
    <row r="5" spans="1:18" x14ac:dyDescent="0.25">
      <c r="B5">
        <v>28</v>
      </c>
      <c r="C5">
        <f t="shared" si="1"/>
        <v>111.72</v>
      </c>
      <c r="D5">
        <v>184</v>
      </c>
      <c r="E5">
        <f t="shared" si="0"/>
        <v>548.32000000000005</v>
      </c>
      <c r="F5">
        <f>E5^(-1/0.88)</f>
        <v>7.717226815033548E-4</v>
      </c>
      <c r="G5">
        <v>111.72</v>
      </c>
      <c r="Q5" t="s">
        <v>18</v>
      </c>
      <c r="R5">
        <v>80.281000000000006</v>
      </c>
    </row>
    <row r="6" spans="1:18" x14ac:dyDescent="0.25">
      <c r="B6">
        <v>30</v>
      </c>
      <c r="C6">
        <f t="shared" si="1"/>
        <v>119.7</v>
      </c>
      <c r="D6">
        <v>183</v>
      </c>
      <c r="E6">
        <f t="shared" si="0"/>
        <v>545.34</v>
      </c>
      <c r="F6">
        <f t="shared" ref="F6:F12" si="2">E6^(-1/0.88)</f>
        <v>7.7651658213313368E-4</v>
      </c>
      <c r="G6">
        <v>119.7</v>
      </c>
      <c r="Q6" t="s">
        <v>19</v>
      </c>
      <c r="R6">
        <v>84.942999999999998</v>
      </c>
    </row>
    <row r="7" spans="1:18" x14ac:dyDescent="0.25">
      <c r="B7">
        <v>32</v>
      </c>
      <c r="C7">
        <f t="shared" si="1"/>
        <v>127.68</v>
      </c>
      <c r="D7">
        <v>139</v>
      </c>
      <c r="E7">
        <f t="shared" si="0"/>
        <v>414.21999999999997</v>
      </c>
      <c r="F7">
        <f t="shared" si="2"/>
        <v>1.0613870647656809E-3</v>
      </c>
      <c r="G7">
        <v>127.68</v>
      </c>
      <c r="Q7" t="s">
        <v>20</v>
      </c>
    </row>
    <row r="8" spans="1:18" x14ac:dyDescent="0.25">
      <c r="B8">
        <v>34</v>
      </c>
      <c r="C8">
        <f t="shared" si="1"/>
        <v>135.66</v>
      </c>
      <c r="D8">
        <v>91</v>
      </c>
      <c r="E8">
        <f t="shared" si="0"/>
        <v>271.18</v>
      </c>
      <c r="F8">
        <f t="shared" si="2"/>
        <v>1.7176492392183068E-3</v>
      </c>
      <c r="G8">
        <v>135.66</v>
      </c>
      <c r="Q8" t="s">
        <v>21</v>
      </c>
    </row>
    <row r="9" spans="1:18" x14ac:dyDescent="0.25">
      <c r="B9">
        <v>36</v>
      </c>
      <c r="C9">
        <f t="shared" si="1"/>
        <v>143.64000000000001</v>
      </c>
      <c r="D9">
        <v>90</v>
      </c>
      <c r="E9">
        <f t="shared" si="0"/>
        <v>268.2</v>
      </c>
      <c r="F9">
        <f t="shared" si="2"/>
        <v>1.7393531072461769E-3</v>
      </c>
      <c r="G9">
        <v>143.64000000000001</v>
      </c>
      <c r="Q9" t="s">
        <v>22</v>
      </c>
      <c r="R9">
        <f>AVERAGE(R3:R8)</f>
        <v>87.786999999999992</v>
      </c>
    </row>
    <row r="10" spans="1:18" x14ac:dyDescent="0.25">
      <c r="B10">
        <v>38</v>
      </c>
      <c r="C10">
        <f t="shared" si="1"/>
        <v>151.62</v>
      </c>
      <c r="D10">
        <v>90</v>
      </c>
      <c r="E10">
        <f t="shared" si="0"/>
        <v>268.2</v>
      </c>
      <c r="F10">
        <f t="shared" si="2"/>
        <v>1.7393531072461769E-3</v>
      </c>
      <c r="G10">
        <v>151.62</v>
      </c>
      <c r="Q10" t="s">
        <v>23</v>
      </c>
      <c r="R10">
        <f>STDEV(R3:R8)</f>
        <v>7.3087718986616776</v>
      </c>
    </row>
    <row r="11" spans="1:18" x14ac:dyDescent="0.25">
      <c r="B11">
        <v>40</v>
      </c>
      <c r="C11">
        <f t="shared" si="1"/>
        <v>159.60000000000002</v>
      </c>
      <c r="D11">
        <v>60</v>
      </c>
      <c r="E11">
        <f t="shared" si="0"/>
        <v>178.8</v>
      </c>
      <c r="F11">
        <f t="shared" si="2"/>
        <v>2.7573472364655128E-3</v>
      </c>
      <c r="G11">
        <v>159.60000000000002</v>
      </c>
    </row>
    <row r="12" spans="1:18" x14ac:dyDescent="0.25">
      <c r="B12">
        <v>50</v>
      </c>
      <c r="C12">
        <f t="shared" si="1"/>
        <v>199.5</v>
      </c>
      <c r="D12">
        <v>54</v>
      </c>
      <c r="E12">
        <f t="shared" si="0"/>
        <v>160.91999999999999</v>
      </c>
      <c r="F12">
        <f t="shared" si="2"/>
        <v>3.10805438276914E-3</v>
      </c>
      <c r="G12">
        <v>199.5</v>
      </c>
    </row>
    <row r="17" spans="1:7" x14ac:dyDescent="0.25">
      <c r="A17" t="s">
        <v>25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E19">
        <f t="shared" ref="E19:E28" si="3">D19*2.98</f>
        <v>0</v>
      </c>
      <c r="F19" t="e">
        <f>E19^(-1/0.88)</f>
        <v>#DIV/0!</v>
      </c>
      <c r="G19">
        <v>95.76</v>
      </c>
    </row>
    <row r="20" spans="1:7" x14ac:dyDescent="0.25">
      <c r="B20">
        <v>26</v>
      </c>
      <c r="C20">
        <f t="shared" ref="C20:C28" si="4">B20*3.99</f>
        <v>103.74000000000001</v>
      </c>
      <c r="D20">
        <v>233</v>
      </c>
      <c r="E20">
        <f t="shared" si="3"/>
        <v>694.34</v>
      </c>
      <c r="F20">
        <f>E20^(-1/0.88)</f>
        <v>5.9012049597065579E-4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D21">
        <v>108</v>
      </c>
      <c r="E21">
        <f t="shared" si="3"/>
        <v>321.83999999999997</v>
      </c>
      <c r="F21">
        <f>E21^(-1/0.88)</f>
        <v>1.4138686623479033E-3</v>
      </c>
      <c r="G21">
        <v>111.72</v>
      </c>
    </row>
    <row r="22" spans="1:7" x14ac:dyDescent="0.25">
      <c r="B22">
        <v>30</v>
      </c>
      <c r="C22">
        <f t="shared" si="4"/>
        <v>119.7</v>
      </c>
      <c r="D22">
        <v>108</v>
      </c>
      <c r="E22">
        <f t="shared" si="3"/>
        <v>321.83999999999997</v>
      </c>
      <c r="F22">
        <f t="shared" ref="F22:F28" si="5">E22^(-1/0.88)</f>
        <v>1.4138686623479033E-3</v>
      </c>
      <c r="G22">
        <v>119.7</v>
      </c>
    </row>
    <row r="23" spans="1:7" x14ac:dyDescent="0.25">
      <c r="B23">
        <v>32</v>
      </c>
      <c r="C23">
        <f t="shared" si="4"/>
        <v>127.68</v>
      </c>
      <c r="D23">
        <v>107</v>
      </c>
      <c r="E23">
        <f t="shared" si="3"/>
        <v>318.86</v>
      </c>
      <c r="F23">
        <f t="shared" si="5"/>
        <v>1.4288938023730643E-3</v>
      </c>
      <c r="G23">
        <v>127.68</v>
      </c>
    </row>
    <row r="24" spans="1:7" x14ac:dyDescent="0.25">
      <c r="B24">
        <v>34</v>
      </c>
      <c r="C24">
        <f t="shared" si="4"/>
        <v>135.66</v>
      </c>
      <c r="D24">
        <v>43</v>
      </c>
      <c r="E24">
        <f t="shared" si="3"/>
        <v>128.13999999999999</v>
      </c>
      <c r="F24">
        <f t="shared" si="5"/>
        <v>4.026277718217495E-3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42</v>
      </c>
      <c r="E25">
        <f t="shared" si="3"/>
        <v>125.16</v>
      </c>
      <c r="F25">
        <f t="shared" si="5"/>
        <v>4.1353894490911668E-3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40</v>
      </c>
      <c r="E26">
        <f t="shared" si="3"/>
        <v>119.2</v>
      </c>
      <c r="F26">
        <f t="shared" si="5"/>
        <v>4.3711445081334706E-3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33</v>
      </c>
      <c r="E27">
        <f t="shared" si="3"/>
        <v>98.34</v>
      </c>
      <c r="F27">
        <f t="shared" si="5"/>
        <v>5.4391853589170489E-3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D28">
        <v>26</v>
      </c>
      <c r="E28">
        <f t="shared" si="3"/>
        <v>77.48</v>
      </c>
      <c r="F28">
        <f t="shared" si="5"/>
        <v>7.1317091416131561E-3</v>
      </c>
      <c r="G28">
        <v>199.5</v>
      </c>
    </row>
    <row r="32" spans="1:7" x14ac:dyDescent="0.25">
      <c r="A32" t="s">
        <v>12</v>
      </c>
    </row>
    <row r="33" spans="1:7" x14ac:dyDescent="0.25">
      <c r="B33" t="s">
        <v>0</v>
      </c>
      <c r="C33" t="s">
        <v>4</v>
      </c>
      <c r="D33" t="s">
        <v>1</v>
      </c>
      <c r="E33" t="s">
        <v>2</v>
      </c>
      <c r="F33" t="s">
        <v>3</v>
      </c>
    </row>
    <row r="34" spans="1:7" x14ac:dyDescent="0.25">
      <c r="B34">
        <v>24</v>
      </c>
      <c r="C34">
        <f>B34*3.99</f>
        <v>95.76</v>
      </c>
      <c r="E34">
        <f t="shared" ref="E34:E43" si="6">D34*2.98</f>
        <v>0</v>
      </c>
      <c r="F34" t="e">
        <f>E34^(-1/0.88)</f>
        <v>#DIV/0!</v>
      </c>
      <c r="G34">
        <v>95.76</v>
      </c>
    </row>
    <row r="35" spans="1:7" x14ac:dyDescent="0.25">
      <c r="B35">
        <v>26</v>
      </c>
      <c r="C35">
        <f t="shared" ref="C35:C43" si="7">B35*3.99</f>
        <v>103.74000000000001</v>
      </c>
      <c r="D35">
        <v>87</v>
      </c>
      <c r="E35">
        <f t="shared" si="6"/>
        <v>259.26</v>
      </c>
      <c r="F35">
        <f>E35^(-1/0.88)</f>
        <v>1.8076682538078735E-3</v>
      </c>
      <c r="G35">
        <v>103.74000000000001</v>
      </c>
    </row>
    <row r="36" spans="1:7" x14ac:dyDescent="0.25">
      <c r="B36">
        <v>28</v>
      </c>
      <c r="C36">
        <f t="shared" si="7"/>
        <v>111.72</v>
      </c>
      <c r="D36">
        <v>71</v>
      </c>
      <c r="E36">
        <f t="shared" si="6"/>
        <v>211.58</v>
      </c>
      <c r="F36">
        <f>E36^(-1/0.88)</f>
        <v>2.2772736065616657E-3</v>
      </c>
      <c r="G36">
        <v>111.72</v>
      </c>
    </row>
    <row r="37" spans="1:7" x14ac:dyDescent="0.25">
      <c r="B37">
        <v>30</v>
      </c>
      <c r="C37">
        <f t="shared" si="7"/>
        <v>119.7</v>
      </c>
      <c r="D37">
        <v>31</v>
      </c>
      <c r="E37">
        <f t="shared" si="6"/>
        <v>92.38</v>
      </c>
      <c r="F37">
        <f t="shared" ref="F37:F43" si="8">E37^(-1/0.88)</f>
        <v>5.8396750879134646E-3</v>
      </c>
      <c r="G37">
        <v>119.7</v>
      </c>
    </row>
    <row r="38" spans="1:7" x14ac:dyDescent="0.25">
      <c r="B38">
        <v>32</v>
      </c>
      <c r="C38">
        <f t="shared" si="7"/>
        <v>127.68</v>
      </c>
      <c r="D38">
        <v>28</v>
      </c>
      <c r="E38">
        <f t="shared" si="6"/>
        <v>83.44</v>
      </c>
      <c r="F38">
        <f t="shared" si="8"/>
        <v>6.5557158127675817E-3</v>
      </c>
      <c r="G38">
        <v>127.68</v>
      </c>
    </row>
    <row r="39" spans="1:7" x14ac:dyDescent="0.25">
      <c r="B39">
        <v>34</v>
      </c>
      <c r="C39">
        <f t="shared" si="7"/>
        <v>135.66</v>
      </c>
      <c r="D39">
        <v>27</v>
      </c>
      <c r="E39">
        <f t="shared" si="6"/>
        <v>80.459999999999994</v>
      </c>
      <c r="F39">
        <f t="shared" si="8"/>
        <v>6.8323192270269553E-3</v>
      </c>
      <c r="G39">
        <v>135.66</v>
      </c>
    </row>
    <row r="40" spans="1:7" x14ac:dyDescent="0.25">
      <c r="B40">
        <v>36</v>
      </c>
      <c r="C40">
        <f t="shared" si="7"/>
        <v>143.64000000000001</v>
      </c>
      <c r="D40">
        <v>27</v>
      </c>
      <c r="E40">
        <f t="shared" si="6"/>
        <v>80.459999999999994</v>
      </c>
      <c r="F40">
        <f t="shared" si="8"/>
        <v>6.8323192270269553E-3</v>
      </c>
      <c r="G40">
        <v>143.64000000000001</v>
      </c>
    </row>
    <row r="41" spans="1:7" x14ac:dyDescent="0.25">
      <c r="B41">
        <v>38</v>
      </c>
      <c r="C41">
        <f t="shared" si="7"/>
        <v>151.62</v>
      </c>
      <c r="D41">
        <v>24</v>
      </c>
      <c r="E41">
        <f t="shared" si="6"/>
        <v>71.52</v>
      </c>
      <c r="F41">
        <f t="shared" si="8"/>
        <v>7.8108089666342031E-3</v>
      </c>
      <c r="G41">
        <v>151.62</v>
      </c>
    </row>
    <row r="42" spans="1:7" x14ac:dyDescent="0.25">
      <c r="B42">
        <v>40</v>
      </c>
      <c r="C42">
        <f t="shared" si="7"/>
        <v>159.60000000000002</v>
      </c>
      <c r="D42">
        <v>22</v>
      </c>
      <c r="E42">
        <f t="shared" si="6"/>
        <v>65.56</v>
      </c>
      <c r="F42">
        <f t="shared" si="8"/>
        <v>8.6225865556297E-3</v>
      </c>
      <c r="G42">
        <v>159.60000000000002</v>
      </c>
    </row>
    <row r="43" spans="1:7" x14ac:dyDescent="0.25">
      <c r="B43">
        <v>50</v>
      </c>
      <c r="C43">
        <f t="shared" si="7"/>
        <v>199.5</v>
      </c>
      <c r="D43">
        <v>17</v>
      </c>
      <c r="E43">
        <f t="shared" si="6"/>
        <v>50.66</v>
      </c>
      <c r="F43">
        <f t="shared" si="8"/>
        <v>1.1557940943796448E-2</v>
      </c>
      <c r="G43">
        <v>199.5</v>
      </c>
    </row>
    <row r="48" spans="1:7" x14ac:dyDescent="0.25">
      <c r="A48" t="s">
        <v>56</v>
      </c>
    </row>
    <row r="49" spans="2:7" x14ac:dyDescent="0.25">
      <c r="B49" t="s">
        <v>0</v>
      </c>
      <c r="C49" t="s">
        <v>4</v>
      </c>
      <c r="D49" t="s">
        <v>1</v>
      </c>
      <c r="E49" t="s">
        <v>2</v>
      </c>
      <c r="F49" t="s">
        <v>3</v>
      </c>
    </row>
    <row r="50" spans="2:7" x14ac:dyDescent="0.25">
      <c r="B50">
        <v>24</v>
      </c>
      <c r="C50">
        <f>B50*3.99</f>
        <v>95.76</v>
      </c>
      <c r="E50">
        <f t="shared" ref="E50:E59" si="9">D50*2.98</f>
        <v>0</v>
      </c>
      <c r="F50" t="e">
        <f>E50^(-1/0.88)</f>
        <v>#DIV/0!</v>
      </c>
      <c r="G50">
        <v>95.76</v>
      </c>
    </row>
    <row r="51" spans="2:7" x14ac:dyDescent="0.25">
      <c r="B51">
        <v>26</v>
      </c>
      <c r="C51">
        <f t="shared" ref="C51:C59" si="10">B51*3.99</f>
        <v>103.74000000000001</v>
      </c>
      <c r="D51">
        <v>248</v>
      </c>
      <c r="E51">
        <f t="shared" si="9"/>
        <v>739.04</v>
      </c>
      <c r="F51">
        <f>E51^(-1/0.88)</f>
        <v>5.4973079058602829E-4</v>
      </c>
      <c r="G51">
        <v>103.74000000000001</v>
      </c>
    </row>
    <row r="52" spans="2:7" x14ac:dyDescent="0.25">
      <c r="B52">
        <v>28</v>
      </c>
      <c r="C52">
        <f t="shared" si="10"/>
        <v>111.72</v>
      </c>
      <c r="D52">
        <v>106</v>
      </c>
      <c r="E52">
        <f t="shared" si="9"/>
        <v>315.88</v>
      </c>
      <c r="F52">
        <f>E52^(-1/0.88)</f>
        <v>1.4442219586439349E-3</v>
      </c>
      <c r="G52">
        <v>111.72</v>
      </c>
    </row>
    <row r="53" spans="2:7" x14ac:dyDescent="0.25">
      <c r="B53">
        <v>30</v>
      </c>
      <c r="C53">
        <f t="shared" si="10"/>
        <v>119.7</v>
      </c>
      <c r="D53">
        <v>85</v>
      </c>
      <c r="E53">
        <f t="shared" si="9"/>
        <v>253.3</v>
      </c>
      <c r="F53">
        <f t="shared" ref="F53:F59" si="11">E53^(-1/0.88)</f>
        <v>1.8560786502070086E-3</v>
      </c>
      <c r="G53">
        <v>119.7</v>
      </c>
    </row>
    <row r="54" spans="2:7" x14ac:dyDescent="0.25">
      <c r="B54">
        <v>32</v>
      </c>
      <c r="C54">
        <f t="shared" si="10"/>
        <v>127.68</v>
      </c>
      <c r="D54">
        <v>84</v>
      </c>
      <c r="E54">
        <f t="shared" si="9"/>
        <v>250.32</v>
      </c>
      <c r="F54">
        <f t="shared" si="11"/>
        <v>1.8812082507593808E-3</v>
      </c>
      <c r="G54">
        <v>127.68</v>
      </c>
    </row>
    <row r="55" spans="2:7" x14ac:dyDescent="0.25">
      <c r="B55">
        <v>34</v>
      </c>
      <c r="C55">
        <f t="shared" si="10"/>
        <v>135.66</v>
      </c>
      <c r="D55">
        <v>69</v>
      </c>
      <c r="E55">
        <f t="shared" si="9"/>
        <v>205.62</v>
      </c>
      <c r="F55">
        <f t="shared" si="11"/>
        <v>2.3524296372682851E-3</v>
      </c>
      <c r="G55">
        <v>135.66</v>
      </c>
    </row>
    <row r="56" spans="2:7" x14ac:dyDescent="0.25">
      <c r="B56">
        <v>36</v>
      </c>
      <c r="C56">
        <f t="shared" si="10"/>
        <v>143.64000000000001</v>
      </c>
      <c r="D56">
        <v>69</v>
      </c>
      <c r="E56">
        <f t="shared" si="9"/>
        <v>205.62</v>
      </c>
      <c r="F56">
        <f t="shared" si="11"/>
        <v>2.3524296372682851E-3</v>
      </c>
      <c r="G56">
        <v>143.64000000000001</v>
      </c>
    </row>
    <row r="57" spans="2:7" x14ac:dyDescent="0.25">
      <c r="B57">
        <v>38</v>
      </c>
      <c r="C57">
        <f t="shared" si="10"/>
        <v>151.62</v>
      </c>
      <c r="D57">
        <v>69</v>
      </c>
      <c r="E57">
        <f t="shared" si="9"/>
        <v>205.62</v>
      </c>
      <c r="F57">
        <f t="shared" si="11"/>
        <v>2.3524296372682851E-3</v>
      </c>
      <c r="G57">
        <v>151.62</v>
      </c>
    </row>
    <row r="58" spans="2:7" x14ac:dyDescent="0.25">
      <c r="B58">
        <v>40</v>
      </c>
      <c r="C58">
        <f t="shared" si="10"/>
        <v>159.60000000000002</v>
      </c>
      <c r="D58">
        <v>68</v>
      </c>
      <c r="E58">
        <f t="shared" si="9"/>
        <v>202.64</v>
      </c>
      <c r="F58">
        <f t="shared" si="11"/>
        <v>2.3917808812356119E-3</v>
      </c>
      <c r="G58">
        <v>159.60000000000002</v>
      </c>
    </row>
    <row r="59" spans="2:7" x14ac:dyDescent="0.25">
      <c r="B59">
        <v>50</v>
      </c>
      <c r="C59">
        <f t="shared" si="10"/>
        <v>199.5</v>
      </c>
      <c r="D59">
        <v>37</v>
      </c>
      <c r="E59">
        <f t="shared" si="9"/>
        <v>110.26</v>
      </c>
      <c r="F59">
        <f t="shared" si="11"/>
        <v>4.7760676318044622E-3</v>
      </c>
      <c r="G59">
        <v>199.5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9"/>
  <sheetViews>
    <sheetView topLeftCell="E1" workbookViewId="0">
      <selection activeCell="S3" sqref="S3:S10"/>
    </sheetView>
  </sheetViews>
  <sheetFormatPr defaultRowHeight="15" x14ac:dyDescent="0.25"/>
  <cols>
    <col min="1" max="1" width="10.42578125" bestFit="1" customWidth="1"/>
    <col min="2" max="2" width="6.28515625" bestFit="1" customWidth="1"/>
    <col min="3" max="3" width="19.140625" bestFit="1" customWidth="1"/>
    <col min="4" max="4" width="13.7109375" bestFit="1" customWidth="1"/>
    <col min="5" max="5" width="17.7109375" bestFit="1" customWidth="1"/>
    <col min="6" max="6" width="12" bestFit="1" customWidth="1"/>
    <col min="7" max="7" width="7" bestFit="1" customWidth="1"/>
    <col min="18" max="18" width="18" bestFit="1" customWidth="1"/>
    <col min="19" max="19" width="20" bestFit="1" customWidth="1"/>
  </cols>
  <sheetData>
    <row r="1" spans="1:19" x14ac:dyDescent="0.25">
      <c r="A1" t="s">
        <v>5</v>
      </c>
    </row>
    <row r="2" spans="1:19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R2" t="s">
        <v>14</v>
      </c>
      <c r="S2" t="s">
        <v>15</v>
      </c>
    </row>
    <row r="3" spans="1:19" x14ac:dyDescent="0.25">
      <c r="B3">
        <v>24</v>
      </c>
      <c r="C3">
        <f>B3*3.99</f>
        <v>95.76</v>
      </c>
      <c r="D3">
        <v>14</v>
      </c>
      <c r="E3">
        <f t="shared" ref="E3:E12" si="0">D3*2.98</f>
        <v>41.72</v>
      </c>
      <c r="F3">
        <f>E3^(-1/0.88)</f>
        <v>1.4411183872075611E-2</v>
      </c>
      <c r="G3">
        <v>95.76</v>
      </c>
      <c r="R3" t="s">
        <v>16</v>
      </c>
      <c r="S3">
        <v>102.84</v>
      </c>
    </row>
    <row r="4" spans="1:19" x14ac:dyDescent="0.25">
      <c r="B4">
        <v>26</v>
      </c>
      <c r="C4">
        <f t="shared" ref="C4:C12" si="1">B4*3.99</f>
        <v>103.74000000000001</v>
      </c>
      <c r="D4">
        <v>12</v>
      </c>
      <c r="E4">
        <f t="shared" si="0"/>
        <v>35.76</v>
      </c>
      <c r="F4">
        <f>E4^(-1/0.88)</f>
        <v>1.7170208017345791E-2</v>
      </c>
      <c r="G4">
        <v>103.74000000000001</v>
      </c>
      <c r="R4" t="s">
        <v>17</v>
      </c>
      <c r="S4">
        <v>83.021000000000001</v>
      </c>
    </row>
    <row r="5" spans="1:19" x14ac:dyDescent="0.25">
      <c r="B5">
        <v>28</v>
      </c>
      <c r="C5">
        <f t="shared" si="1"/>
        <v>111.72</v>
      </c>
      <c r="D5">
        <v>12</v>
      </c>
      <c r="E5">
        <f t="shared" si="0"/>
        <v>35.76</v>
      </c>
      <c r="F5">
        <f>E5^(-1/0.88)</f>
        <v>1.7170208017345791E-2</v>
      </c>
      <c r="G5">
        <v>111.72</v>
      </c>
      <c r="R5" t="s">
        <v>18</v>
      </c>
      <c r="S5">
        <v>34.405000000000001</v>
      </c>
    </row>
    <row r="6" spans="1:19" x14ac:dyDescent="0.25">
      <c r="B6">
        <v>30</v>
      </c>
      <c r="C6">
        <f t="shared" si="1"/>
        <v>119.7</v>
      </c>
      <c r="D6">
        <v>11</v>
      </c>
      <c r="E6">
        <f t="shared" si="0"/>
        <v>32.78</v>
      </c>
      <c r="F6">
        <f t="shared" ref="F6:F12" si="2">E6^(-1/0.88)</f>
        <v>1.8954708205023315E-2</v>
      </c>
      <c r="G6">
        <v>119.7</v>
      </c>
      <c r="R6" t="s">
        <v>19</v>
      </c>
      <c r="S6">
        <v>91.814999999999998</v>
      </c>
    </row>
    <row r="7" spans="1:19" x14ac:dyDescent="0.25">
      <c r="B7">
        <v>32</v>
      </c>
      <c r="C7">
        <f t="shared" si="1"/>
        <v>127.68</v>
      </c>
      <c r="D7">
        <v>6</v>
      </c>
      <c r="E7">
        <f t="shared" si="0"/>
        <v>17.88</v>
      </c>
      <c r="F7">
        <f t="shared" si="2"/>
        <v>3.774462345940157E-2</v>
      </c>
      <c r="G7">
        <v>127.68</v>
      </c>
      <c r="R7" t="s">
        <v>20</v>
      </c>
      <c r="S7">
        <v>61.793999999999997</v>
      </c>
    </row>
    <row r="8" spans="1:19" x14ac:dyDescent="0.25">
      <c r="B8">
        <v>34</v>
      </c>
      <c r="C8">
        <f t="shared" si="1"/>
        <v>135.66</v>
      </c>
      <c r="D8">
        <v>3</v>
      </c>
      <c r="E8">
        <f t="shared" si="0"/>
        <v>8.94</v>
      </c>
      <c r="F8">
        <f t="shared" si="2"/>
        <v>8.297258825593623E-2</v>
      </c>
      <c r="G8">
        <v>135.66</v>
      </c>
      <c r="R8" t="s">
        <v>21</v>
      </c>
    </row>
    <row r="9" spans="1:19" x14ac:dyDescent="0.25">
      <c r="B9">
        <v>36</v>
      </c>
      <c r="C9">
        <f t="shared" si="1"/>
        <v>143.64000000000001</v>
      </c>
      <c r="D9">
        <v>3</v>
      </c>
      <c r="E9">
        <f t="shared" si="0"/>
        <v>8.94</v>
      </c>
      <c r="F9">
        <f t="shared" si="2"/>
        <v>8.297258825593623E-2</v>
      </c>
      <c r="G9">
        <v>143.64000000000001</v>
      </c>
      <c r="R9" t="s">
        <v>22</v>
      </c>
      <c r="S9">
        <f>AVERAGE(S3:S8)</f>
        <v>74.775000000000006</v>
      </c>
    </row>
    <row r="10" spans="1:19" x14ac:dyDescent="0.25">
      <c r="B10">
        <v>38</v>
      </c>
      <c r="C10">
        <f t="shared" si="1"/>
        <v>151.62</v>
      </c>
      <c r="D10">
        <v>2</v>
      </c>
      <c r="E10">
        <f t="shared" si="0"/>
        <v>5.96</v>
      </c>
      <c r="F10">
        <f t="shared" si="2"/>
        <v>0.13153409504762295</v>
      </c>
      <c r="G10">
        <v>151.62</v>
      </c>
      <c r="R10" t="s">
        <v>23</v>
      </c>
      <c r="S10">
        <f>STDEV(S3:S8)</f>
        <v>27.130451535129282</v>
      </c>
    </row>
    <row r="11" spans="1:19" x14ac:dyDescent="0.25">
      <c r="B11">
        <v>40</v>
      </c>
      <c r="C11">
        <f t="shared" si="1"/>
        <v>159.60000000000002</v>
      </c>
      <c r="D11">
        <v>2</v>
      </c>
      <c r="E11">
        <f t="shared" si="0"/>
        <v>5.96</v>
      </c>
      <c r="F11">
        <f t="shared" si="2"/>
        <v>0.13153409504762295</v>
      </c>
      <c r="G11">
        <v>159.60000000000002</v>
      </c>
    </row>
    <row r="12" spans="1:19" x14ac:dyDescent="0.25">
      <c r="B12">
        <v>50</v>
      </c>
      <c r="C12">
        <f t="shared" si="1"/>
        <v>199.5</v>
      </c>
      <c r="E12">
        <f t="shared" si="0"/>
        <v>0</v>
      </c>
      <c r="F12" t="e">
        <f t="shared" si="2"/>
        <v>#DIV/0!</v>
      </c>
      <c r="G12">
        <v>199.5</v>
      </c>
    </row>
    <row r="17" spans="1:7" x14ac:dyDescent="0.25">
      <c r="A17" t="s">
        <v>25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D19">
        <v>35</v>
      </c>
      <c r="E19">
        <f t="shared" ref="E19:E28" si="3">D19*2.98</f>
        <v>104.3</v>
      </c>
      <c r="F19">
        <f>E19^(-1/0.88)</f>
        <v>5.0873908443554222E-3</v>
      </c>
      <c r="G19">
        <v>95.76</v>
      </c>
    </row>
    <row r="20" spans="1:7" x14ac:dyDescent="0.25">
      <c r="B20">
        <v>26</v>
      </c>
      <c r="C20">
        <f t="shared" ref="C20:C28" si="4">B20*3.99</f>
        <v>103.74000000000001</v>
      </c>
      <c r="D20">
        <v>27</v>
      </c>
      <c r="E20">
        <f t="shared" si="3"/>
        <v>80.459999999999994</v>
      </c>
      <c r="F20">
        <f>E20^(-1/0.88)</f>
        <v>6.8323192270269553E-3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D21">
        <v>20</v>
      </c>
      <c r="E21">
        <f t="shared" si="3"/>
        <v>59.6</v>
      </c>
      <c r="F21">
        <f>E21^(-1/0.88)</f>
        <v>9.6089228144152165E-3</v>
      </c>
      <c r="G21">
        <v>111.72</v>
      </c>
    </row>
    <row r="22" spans="1:7" x14ac:dyDescent="0.25">
      <c r="B22">
        <v>30</v>
      </c>
      <c r="C22">
        <f t="shared" si="4"/>
        <v>119.7</v>
      </c>
      <c r="D22">
        <v>15</v>
      </c>
      <c r="E22">
        <f t="shared" si="3"/>
        <v>44.7</v>
      </c>
      <c r="F22">
        <f t="shared" ref="F22:F28" si="5">E22^(-1/0.88)</f>
        <v>1.3324488363727047E-2</v>
      </c>
      <c r="G22">
        <v>119.7</v>
      </c>
    </row>
    <row r="23" spans="1:7" x14ac:dyDescent="0.25">
      <c r="B23">
        <v>32</v>
      </c>
      <c r="C23">
        <f t="shared" si="4"/>
        <v>127.68</v>
      </c>
      <c r="D23">
        <v>13</v>
      </c>
      <c r="E23">
        <f t="shared" si="3"/>
        <v>38.74</v>
      </c>
      <c r="F23">
        <f t="shared" si="5"/>
        <v>1.5677368375515564E-2</v>
      </c>
      <c r="G23">
        <v>127.68</v>
      </c>
    </row>
    <row r="24" spans="1:7" x14ac:dyDescent="0.25">
      <c r="B24">
        <v>34</v>
      </c>
      <c r="C24">
        <f t="shared" si="4"/>
        <v>135.66</v>
      </c>
      <c r="D24">
        <v>11</v>
      </c>
      <c r="E24">
        <f t="shared" si="3"/>
        <v>32.78</v>
      </c>
      <c r="F24">
        <f t="shared" si="5"/>
        <v>1.8954708205023315E-2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10</v>
      </c>
      <c r="E25">
        <f t="shared" si="3"/>
        <v>29.8</v>
      </c>
      <c r="F25">
        <f t="shared" si="5"/>
        <v>2.1122934160970067E-2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E26">
        <f t="shared" si="3"/>
        <v>0</v>
      </c>
      <c r="F26" t="e">
        <f t="shared" si="5"/>
        <v>#DIV/0!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E27">
        <f t="shared" si="3"/>
        <v>0</v>
      </c>
      <c r="F27" t="e">
        <f t="shared" si="5"/>
        <v>#DIV/0!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E28">
        <f t="shared" si="3"/>
        <v>0</v>
      </c>
      <c r="F28" t="e">
        <f t="shared" si="5"/>
        <v>#DIV/0!</v>
      </c>
      <c r="G28">
        <v>199.5</v>
      </c>
    </row>
    <row r="33" spans="1:7" x14ac:dyDescent="0.25">
      <c r="A33" t="s">
        <v>72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D35">
        <v>87</v>
      </c>
      <c r="E35">
        <f t="shared" ref="E35:E44" si="6">D35*2.98</f>
        <v>259.26</v>
      </c>
      <c r="F35">
        <f>E35^(-1/0.88)</f>
        <v>1.8076682538078735E-3</v>
      </c>
      <c r="G35">
        <v>95.76</v>
      </c>
    </row>
    <row r="36" spans="1:7" x14ac:dyDescent="0.25">
      <c r="B36">
        <v>26</v>
      </c>
      <c r="C36">
        <f t="shared" ref="C36:C44" si="7">B36*3.99</f>
        <v>103.74000000000001</v>
      </c>
      <c r="D36">
        <v>41</v>
      </c>
      <c r="E36">
        <f t="shared" si="6"/>
        <v>122.17999999999999</v>
      </c>
      <c r="F36">
        <f>E36^(-1/0.88)</f>
        <v>4.2501959551075989E-3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D37">
        <v>40</v>
      </c>
      <c r="E37">
        <f t="shared" si="6"/>
        <v>119.2</v>
      </c>
      <c r="F37">
        <f>E37^(-1/0.88)</f>
        <v>4.3711445081334706E-3</v>
      </c>
      <c r="G37">
        <v>111.72</v>
      </c>
    </row>
    <row r="38" spans="1:7" x14ac:dyDescent="0.25">
      <c r="B38">
        <v>30</v>
      </c>
      <c r="C38">
        <f t="shared" si="7"/>
        <v>119.7</v>
      </c>
      <c r="D38">
        <v>39</v>
      </c>
      <c r="E38">
        <f t="shared" si="6"/>
        <v>116.22</v>
      </c>
      <c r="F38">
        <f t="shared" ref="F38:F44" si="8">E38^(-1/0.88)</f>
        <v>4.4987298993004231E-3</v>
      </c>
      <c r="G38">
        <v>119.7</v>
      </c>
    </row>
    <row r="39" spans="1:7" x14ac:dyDescent="0.25">
      <c r="B39">
        <v>32</v>
      </c>
      <c r="C39">
        <f t="shared" si="7"/>
        <v>127.68</v>
      </c>
      <c r="D39">
        <v>39</v>
      </c>
      <c r="E39">
        <f t="shared" si="6"/>
        <v>116.22</v>
      </c>
      <c r="F39">
        <f t="shared" si="8"/>
        <v>4.4987298993004231E-3</v>
      </c>
      <c r="G39">
        <v>127.68</v>
      </c>
    </row>
    <row r="40" spans="1:7" x14ac:dyDescent="0.25">
      <c r="B40">
        <v>34</v>
      </c>
      <c r="C40">
        <f t="shared" si="7"/>
        <v>135.66</v>
      </c>
      <c r="D40">
        <v>38</v>
      </c>
      <c r="E40">
        <f t="shared" si="6"/>
        <v>113.24</v>
      </c>
      <c r="F40">
        <f t="shared" si="8"/>
        <v>4.6335008733165064E-3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D41">
        <v>36</v>
      </c>
      <c r="E41">
        <f t="shared" si="6"/>
        <v>107.28</v>
      </c>
      <c r="F41">
        <f t="shared" si="8"/>
        <v>4.9271106179707355E-3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D42">
        <v>35</v>
      </c>
      <c r="E42">
        <f t="shared" si="6"/>
        <v>104.3</v>
      </c>
      <c r="F42">
        <f t="shared" si="8"/>
        <v>5.0873908443554222E-3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D43">
        <v>33</v>
      </c>
      <c r="E43">
        <f t="shared" si="6"/>
        <v>98.34</v>
      </c>
      <c r="F43">
        <f t="shared" si="8"/>
        <v>5.4391853589170489E-3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D44">
        <v>27</v>
      </c>
      <c r="E44">
        <f t="shared" si="6"/>
        <v>80.459999999999994</v>
      </c>
      <c r="F44">
        <f t="shared" si="8"/>
        <v>6.8323192270269553E-3</v>
      </c>
      <c r="G44">
        <v>199.5</v>
      </c>
    </row>
    <row r="47" spans="1:7" x14ac:dyDescent="0.25">
      <c r="A47" t="s">
        <v>73</v>
      </c>
    </row>
    <row r="48" spans="1:7" x14ac:dyDescent="0.25">
      <c r="B48" t="s">
        <v>0</v>
      </c>
      <c r="C48" t="s">
        <v>4</v>
      </c>
      <c r="D48" t="s">
        <v>1</v>
      </c>
      <c r="E48" t="s">
        <v>2</v>
      </c>
      <c r="F48" t="s">
        <v>3</v>
      </c>
    </row>
    <row r="49" spans="1:7" x14ac:dyDescent="0.25">
      <c r="B49">
        <v>24</v>
      </c>
      <c r="C49">
        <f>B49*3.99</f>
        <v>95.76</v>
      </c>
      <c r="D49">
        <v>189</v>
      </c>
      <c r="E49">
        <f t="shared" ref="E49:E58" si="9">D49*2.98</f>
        <v>563.22</v>
      </c>
      <c r="F49">
        <f>E49^(-1/0.88)</f>
        <v>7.4856491480596E-4</v>
      </c>
      <c r="G49">
        <v>95.76</v>
      </c>
    </row>
    <row r="50" spans="1:7" x14ac:dyDescent="0.25">
      <c r="B50">
        <v>26</v>
      </c>
      <c r="C50">
        <f t="shared" ref="C50:C58" si="10">B50*3.99</f>
        <v>103.74000000000001</v>
      </c>
      <c r="D50">
        <v>185</v>
      </c>
      <c r="E50">
        <f t="shared" si="9"/>
        <v>551.29999999999995</v>
      </c>
      <c r="F50">
        <f>E50^(-1/0.88)</f>
        <v>7.6698411996083485E-4</v>
      </c>
      <c r="G50">
        <v>103.74000000000001</v>
      </c>
    </row>
    <row r="51" spans="1:7" x14ac:dyDescent="0.25">
      <c r="B51">
        <v>28</v>
      </c>
      <c r="C51">
        <f t="shared" si="10"/>
        <v>111.72</v>
      </c>
      <c r="D51">
        <v>144</v>
      </c>
      <c r="E51">
        <f t="shared" si="9"/>
        <v>429.12</v>
      </c>
      <c r="F51">
        <f>E51^(-1/0.88)</f>
        <v>1.0196079935951374E-3</v>
      </c>
      <c r="G51">
        <v>111.72</v>
      </c>
    </row>
    <row r="52" spans="1:7" x14ac:dyDescent="0.25">
      <c r="B52">
        <v>30</v>
      </c>
      <c r="C52">
        <f t="shared" si="10"/>
        <v>119.7</v>
      </c>
      <c r="D52">
        <v>69</v>
      </c>
      <c r="E52">
        <f t="shared" si="9"/>
        <v>205.62</v>
      </c>
      <c r="F52">
        <f t="shared" ref="F52:F58" si="11">E52^(-1/0.88)</f>
        <v>2.3524296372682851E-3</v>
      </c>
      <c r="G52">
        <v>119.7</v>
      </c>
    </row>
    <row r="53" spans="1:7" x14ac:dyDescent="0.25">
      <c r="B53">
        <v>32</v>
      </c>
      <c r="C53">
        <f t="shared" si="10"/>
        <v>127.68</v>
      </c>
      <c r="D53">
        <v>53</v>
      </c>
      <c r="E53">
        <f t="shared" si="9"/>
        <v>157.94</v>
      </c>
      <c r="F53">
        <f t="shared" si="11"/>
        <v>3.1747788941022567E-3</v>
      </c>
      <c r="G53">
        <v>127.68</v>
      </c>
    </row>
    <row r="54" spans="1:7" x14ac:dyDescent="0.25">
      <c r="B54">
        <v>34</v>
      </c>
      <c r="C54">
        <f t="shared" si="10"/>
        <v>135.66</v>
      </c>
      <c r="D54">
        <v>37</v>
      </c>
      <c r="E54">
        <f t="shared" si="9"/>
        <v>110.26</v>
      </c>
      <c r="F54">
        <f t="shared" si="11"/>
        <v>4.7760676318044622E-3</v>
      </c>
      <c r="G54">
        <v>135.66</v>
      </c>
    </row>
    <row r="55" spans="1:7" x14ac:dyDescent="0.25">
      <c r="B55">
        <v>36</v>
      </c>
      <c r="C55">
        <f t="shared" si="10"/>
        <v>143.64000000000001</v>
      </c>
      <c r="D55">
        <v>31</v>
      </c>
      <c r="E55">
        <f t="shared" si="9"/>
        <v>92.38</v>
      </c>
      <c r="F55">
        <f t="shared" si="11"/>
        <v>5.8396750879134646E-3</v>
      </c>
      <c r="G55">
        <v>143.64000000000001</v>
      </c>
    </row>
    <row r="56" spans="1:7" x14ac:dyDescent="0.25">
      <c r="B56">
        <v>38</v>
      </c>
      <c r="C56">
        <f t="shared" si="10"/>
        <v>151.62</v>
      </c>
      <c r="D56">
        <v>29</v>
      </c>
      <c r="E56">
        <f t="shared" si="9"/>
        <v>86.42</v>
      </c>
      <c r="F56">
        <f t="shared" si="11"/>
        <v>6.299440453199451E-3</v>
      </c>
      <c r="G56">
        <v>151.62</v>
      </c>
    </row>
    <row r="57" spans="1:7" x14ac:dyDescent="0.25">
      <c r="B57">
        <v>40</v>
      </c>
      <c r="C57">
        <f t="shared" si="10"/>
        <v>159.60000000000002</v>
      </c>
      <c r="D57">
        <v>29</v>
      </c>
      <c r="E57">
        <f t="shared" si="9"/>
        <v>86.42</v>
      </c>
      <c r="F57">
        <f t="shared" si="11"/>
        <v>6.299440453199451E-3</v>
      </c>
      <c r="G57">
        <v>159.60000000000002</v>
      </c>
    </row>
    <row r="58" spans="1:7" x14ac:dyDescent="0.25">
      <c r="B58">
        <v>50</v>
      </c>
      <c r="C58">
        <f t="shared" si="10"/>
        <v>199.5</v>
      </c>
      <c r="D58">
        <v>24</v>
      </c>
      <c r="E58">
        <f t="shared" si="9"/>
        <v>71.52</v>
      </c>
      <c r="F58">
        <f t="shared" si="11"/>
        <v>7.8108089666342031E-3</v>
      </c>
      <c r="G58">
        <v>199.5</v>
      </c>
    </row>
    <row r="63" spans="1:7" x14ac:dyDescent="0.25">
      <c r="A63" t="s">
        <v>74</v>
      </c>
    </row>
    <row r="64" spans="1:7" x14ac:dyDescent="0.25">
      <c r="B64" t="s">
        <v>0</v>
      </c>
      <c r="C64" t="s">
        <v>4</v>
      </c>
      <c r="D64" t="s">
        <v>1</v>
      </c>
      <c r="E64" t="s">
        <v>2</v>
      </c>
      <c r="F64" t="s">
        <v>3</v>
      </c>
    </row>
    <row r="65" spans="1:7" x14ac:dyDescent="0.25">
      <c r="B65">
        <v>24</v>
      </c>
      <c r="C65">
        <f>B65*3.99</f>
        <v>95.76</v>
      </c>
      <c r="D65">
        <v>8</v>
      </c>
      <c r="E65">
        <f t="shared" ref="E65:E74" si="12">D65*2.98</f>
        <v>23.84</v>
      </c>
      <c r="F65">
        <f>E65^(-1/0.88)</f>
        <v>2.7219444648087589E-2</v>
      </c>
      <c r="G65">
        <v>95.76</v>
      </c>
    </row>
    <row r="66" spans="1:7" x14ac:dyDescent="0.25">
      <c r="B66">
        <v>26</v>
      </c>
      <c r="C66">
        <f t="shared" ref="C66:C74" si="13">B66*3.99</f>
        <v>103.74000000000001</v>
      </c>
      <c r="D66">
        <v>7</v>
      </c>
      <c r="E66">
        <f t="shared" si="12"/>
        <v>20.86</v>
      </c>
      <c r="F66">
        <f>E66^(-1/0.88)</f>
        <v>3.1679564295679342E-2</v>
      </c>
      <c r="G66">
        <v>103.74000000000001</v>
      </c>
    </row>
    <row r="67" spans="1:7" x14ac:dyDescent="0.25">
      <c r="B67">
        <v>28</v>
      </c>
      <c r="C67">
        <f t="shared" si="13"/>
        <v>111.72</v>
      </c>
      <c r="D67">
        <v>7</v>
      </c>
      <c r="E67">
        <f t="shared" si="12"/>
        <v>20.86</v>
      </c>
      <c r="F67">
        <f>E67^(-1/0.88)</f>
        <v>3.1679564295679342E-2</v>
      </c>
      <c r="G67">
        <v>111.72</v>
      </c>
    </row>
    <row r="68" spans="1:7" x14ac:dyDescent="0.25">
      <c r="B68">
        <v>30</v>
      </c>
      <c r="C68">
        <f t="shared" si="13"/>
        <v>119.7</v>
      </c>
      <c r="D68">
        <v>6</v>
      </c>
      <c r="E68">
        <f t="shared" si="12"/>
        <v>17.88</v>
      </c>
      <c r="F68">
        <f t="shared" ref="F68:F74" si="14">E68^(-1/0.88)</f>
        <v>3.774462345940157E-2</v>
      </c>
      <c r="G68">
        <v>119.7</v>
      </c>
    </row>
    <row r="69" spans="1:7" x14ac:dyDescent="0.25">
      <c r="B69">
        <v>32</v>
      </c>
      <c r="C69">
        <f t="shared" si="13"/>
        <v>127.68</v>
      </c>
      <c r="D69">
        <v>6</v>
      </c>
      <c r="E69">
        <f t="shared" si="12"/>
        <v>17.88</v>
      </c>
      <c r="F69">
        <f t="shared" si="14"/>
        <v>3.774462345940157E-2</v>
      </c>
      <c r="G69">
        <v>127.68</v>
      </c>
    </row>
    <row r="70" spans="1:7" x14ac:dyDescent="0.25">
      <c r="B70">
        <v>34</v>
      </c>
      <c r="C70">
        <f t="shared" si="13"/>
        <v>135.66</v>
      </c>
      <c r="D70">
        <v>6</v>
      </c>
      <c r="E70">
        <f t="shared" si="12"/>
        <v>17.88</v>
      </c>
      <c r="F70">
        <f t="shared" si="14"/>
        <v>3.774462345940157E-2</v>
      </c>
      <c r="G70">
        <v>135.66</v>
      </c>
    </row>
    <row r="71" spans="1:7" x14ac:dyDescent="0.25">
      <c r="B71">
        <v>36</v>
      </c>
      <c r="C71">
        <f t="shared" si="13"/>
        <v>143.64000000000001</v>
      </c>
      <c r="D71">
        <v>6</v>
      </c>
      <c r="E71">
        <f t="shared" si="12"/>
        <v>17.88</v>
      </c>
      <c r="F71">
        <f t="shared" si="14"/>
        <v>3.774462345940157E-2</v>
      </c>
      <c r="G71">
        <v>143.64000000000001</v>
      </c>
    </row>
    <row r="72" spans="1:7" x14ac:dyDescent="0.25">
      <c r="B72">
        <v>38</v>
      </c>
      <c r="C72">
        <f t="shared" si="13"/>
        <v>151.62</v>
      </c>
      <c r="D72">
        <v>4</v>
      </c>
      <c r="E72">
        <f t="shared" si="12"/>
        <v>11.92</v>
      </c>
      <c r="F72">
        <f t="shared" si="14"/>
        <v>5.9835482946869113E-2</v>
      </c>
      <c r="G72">
        <v>151.62</v>
      </c>
    </row>
    <row r="73" spans="1:7" x14ac:dyDescent="0.25">
      <c r="B73">
        <v>40</v>
      </c>
      <c r="C73">
        <f t="shared" si="13"/>
        <v>159.60000000000002</v>
      </c>
      <c r="E73">
        <f t="shared" si="12"/>
        <v>0</v>
      </c>
      <c r="F73" t="e">
        <f t="shared" si="14"/>
        <v>#DIV/0!</v>
      </c>
      <c r="G73">
        <v>159.60000000000002</v>
      </c>
    </row>
    <row r="74" spans="1:7" x14ac:dyDescent="0.25">
      <c r="B74">
        <v>50</v>
      </c>
      <c r="C74">
        <f t="shared" si="13"/>
        <v>199.5</v>
      </c>
      <c r="E74">
        <f t="shared" si="12"/>
        <v>0</v>
      </c>
      <c r="F74" t="e">
        <f t="shared" si="14"/>
        <v>#DIV/0!</v>
      </c>
      <c r="G74">
        <v>199.5</v>
      </c>
    </row>
    <row r="78" spans="1:7" x14ac:dyDescent="0.25">
      <c r="A78" t="s">
        <v>74</v>
      </c>
    </row>
    <row r="79" spans="1:7" x14ac:dyDescent="0.25">
      <c r="B79" t="s">
        <v>0</v>
      </c>
      <c r="C79" t="s">
        <v>4</v>
      </c>
      <c r="D79" t="s">
        <v>1</v>
      </c>
      <c r="E79" t="s">
        <v>2</v>
      </c>
      <c r="F79" t="s">
        <v>3</v>
      </c>
    </row>
    <row r="80" spans="1:7" x14ac:dyDescent="0.25">
      <c r="B80">
        <v>24</v>
      </c>
      <c r="C80">
        <f>B80*3.99</f>
        <v>95.76</v>
      </c>
      <c r="D80">
        <v>15</v>
      </c>
      <c r="E80">
        <f t="shared" ref="E80:E89" si="15">D80*2.98</f>
        <v>44.7</v>
      </c>
      <c r="F80">
        <f>E80^(-1/0.88)</f>
        <v>1.3324488363727047E-2</v>
      </c>
      <c r="G80">
        <v>95.76</v>
      </c>
    </row>
    <row r="81" spans="2:7" x14ac:dyDescent="0.25">
      <c r="B81">
        <v>26</v>
      </c>
      <c r="C81">
        <f t="shared" ref="C81:C89" si="16">B81*3.99</f>
        <v>103.74000000000001</v>
      </c>
      <c r="D81">
        <v>15</v>
      </c>
      <c r="E81">
        <f t="shared" si="15"/>
        <v>44.7</v>
      </c>
      <c r="F81">
        <f>E81^(-1/0.88)</f>
        <v>1.3324488363727047E-2</v>
      </c>
      <c r="G81">
        <v>103.74000000000001</v>
      </c>
    </row>
    <row r="82" spans="2:7" x14ac:dyDescent="0.25">
      <c r="B82">
        <v>28</v>
      </c>
      <c r="C82">
        <f t="shared" si="16"/>
        <v>111.72</v>
      </c>
      <c r="D82">
        <v>14</v>
      </c>
      <c r="E82">
        <f t="shared" si="15"/>
        <v>41.72</v>
      </c>
      <c r="F82">
        <f>E82^(-1/0.88)</f>
        <v>1.4411183872075611E-2</v>
      </c>
      <c r="G82">
        <v>111.72</v>
      </c>
    </row>
    <row r="83" spans="2:7" x14ac:dyDescent="0.25">
      <c r="B83">
        <v>30</v>
      </c>
      <c r="C83">
        <f t="shared" si="16"/>
        <v>119.7</v>
      </c>
      <c r="D83">
        <v>14</v>
      </c>
      <c r="E83">
        <f t="shared" si="15"/>
        <v>41.72</v>
      </c>
      <c r="F83">
        <f t="shared" ref="F83:F89" si="17">E83^(-1/0.88)</f>
        <v>1.4411183872075611E-2</v>
      </c>
      <c r="G83">
        <v>119.7</v>
      </c>
    </row>
    <row r="84" spans="2:7" x14ac:dyDescent="0.25">
      <c r="B84">
        <v>32</v>
      </c>
      <c r="C84">
        <f t="shared" si="16"/>
        <v>127.68</v>
      </c>
      <c r="D84">
        <v>13</v>
      </c>
      <c r="E84">
        <f t="shared" si="15"/>
        <v>38.74</v>
      </c>
      <c r="F84">
        <f t="shared" si="17"/>
        <v>1.5677368375515564E-2</v>
      </c>
      <c r="G84">
        <v>127.68</v>
      </c>
    </row>
    <row r="85" spans="2:7" x14ac:dyDescent="0.25">
      <c r="B85">
        <v>34</v>
      </c>
      <c r="C85">
        <f t="shared" si="16"/>
        <v>135.66</v>
      </c>
      <c r="D85">
        <v>12</v>
      </c>
      <c r="E85">
        <f t="shared" si="15"/>
        <v>35.76</v>
      </c>
      <c r="F85">
        <f t="shared" si="17"/>
        <v>1.7170208017345791E-2</v>
      </c>
      <c r="G85">
        <v>135.66</v>
      </c>
    </row>
    <row r="86" spans="2:7" x14ac:dyDescent="0.25">
      <c r="B86">
        <v>36</v>
      </c>
      <c r="C86">
        <f t="shared" si="16"/>
        <v>143.64000000000001</v>
      </c>
      <c r="D86">
        <v>11</v>
      </c>
      <c r="E86">
        <f t="shared" si="15"/>
        <v>32.78</v>
      </c>
      <c r="F86">
        <f t="shared" si="17"/>
        <v>1.8954708205023315E-2</v>
      </c>
      <c r="G86">
        <v>143.64000000000001</v>
      </c>
    </row>
    <row r="87" spans="2:7" x14ac:dyDescent="0.25">
      <c r="B87">
        <v>38</v>
      </c>
      <c r="C87">
        <f t="shared" si="16"/>
        <v>151.62</v>
      </c>
      <c r="E87">
        <f t="shared" si="15"/>
        <v>0</v>
      </c>
      <c r="F87" t="e">
        <f t="shared" si="17"/>
        <v>#DIV/0!</v>
      </c>
      <c r="G87">
        <v>151.62</v>
      </c>
    </row>
    <row r="88" spans="2:7" x14ac:dyDescent="0.25">
      <c r="B88">
        <v>40</v>
      </c>
      <c r="C88">
        <f t="shared" si="16"/>
        <v>159.60000000000002</v>
      </c>
      <c r="E88">
        <f t="shared" si="15"/>
        <v>0</v>
      </c>
      <c r="F88" t="e">
        <f t="shared" si="17"/>
        <v>#DIV/0!</v>
      </c>
      <c r="G88">
        <v>159.60000000000002</v>
      </c>
    </row>
    <row r="89" spans="2:7" x14ac:dyDescent="0.25">
      <c r="B89">
        <v>50</v>
      </c>
      <c r="C89">
        <f t="shared" si="16"/>
        <v>199.5</v>
      </c>
      <c r="E89">
        <f t="shared" si="15"/>
        <v>0</v>
      </c>
      <c r="F89" t="e">
        <f t="shared" si="17"/>
        <v>#DIV/0!</v>
      </c>
      <c r="G89">
        <v>199.5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topLeftCell="D1" workbookViewId="0">
      <selection activeCell="P2" sqref="P2:Q10"/>
    </sheetView>
  </sheetViews>
  <sheetFormatPr defaultRowHeight="15" x14ac:dyDescent="0.25"/>
  <cols>
    <col min="3" max="3" width="15.85546875" bestFit="1" customWidth="1"/>
    <col min="4" max="4" width="11.42578125" bestFit="1" customWidth="1"/>
    <col min="5" max="5" width="15" bestFit="1" customWidth="1"/>
    <col min="16" max="16" width="18" bestFit="1" customWidth="1"/>
    <col min="17" max="17" width="20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E3">
        <f t="shared" ref="E3:E12" si="0">D3*2.98</f>
        <v>0</v>
      </c>
      <c r="F3" t="e">
        <f>E3^(-1/0.88)</f>
        <v>#DIV/0!</v>
      </c>
      <c r="G3">
        <v>95.76</v>
      </c>
      <c r="P3" t="s">
        <v>16</v>
      </c>
    </row>
    <row r="4" spans="1:17" x14ac:dyDescent="0.25">
      <c r="B4">
        <v>26</v>
      </c>
      <c r="C4">
        <f t="shared" ref="C4:C12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P4" t="s">
        <v>17</v>
      </c>
      <c r="Q4">
        <v>67.834000000000003</v>
      </c>
    </row>
    <row r="5" spans="1:17" x14ac:dyDescent="0.25">
      <c r="B5">
        <v>28</v>
      </c>
      <c r="C5">
        <f t="shared" si="1"/>
        <v>111.72</v>
      </c>
      <c r="D5">
        <v>68</v>
      </c>
      <c r="E5">
        <f t="shared" si="0"/>
        <v>202.64</v>
      </c>
      <c r="F5">
        <f>E5^(-1/0.88)</f>
        <v>2.3917808812356119E-3</v>
      </c>
      <c r="G5">
        <v>111.72</v>
      </c>
      <c r="P5" t="s">
        <v>18</v>
      </c>
      <c r="Q5">
        <v>96.364000000000004</v>
      </c>
    </row>
    <row r="6" spans="1:17" x14ac:dyDescent="0.25">
      <c r="B6">
        <v>30</v>
      </c>
      <c r="C6">
        <f t="shared" si="1"/>
        <v>119.7</v>
      </c>
      <c r="D6">
        <v>68</v>
      </c>
      <c r="E6">
        <f t="shared" si="0"/>
        <v>202.64</v>
      </c>
      <c r="F6">
        <f t="shared" ref="F6:F12" si="2">E6^(-1/0.88)</f>
        <v>2.3917808812356119E-3</v>
      </c>
      <c r="G6">
        <v>119.7</v>
      </c>
      <c r="P6" t="s">
        <v>19</v>
      </c>
      <c r="Q6">
        <v>105.95</v>
      </c>
    </row>
    <row r="7" spans="1:17" x14ac:dyDescent="0.25">
      <c r="B7">
        <v>32</v>
      </c>
      <c r="C7">
        <f t="shared" si="1"/>
        <v>127.68</v>
      </c>
      <c r="D7">
        <v>68</v>
      </c>
      <c r="E7">
        <f t="shared" si="0"/>
        <v>202.64</v>
      </c>
      <c r="F7">
        <f t="shared" si="2"/>
        <v>2.3917808812356119E-3</v>
      </c>
      <c r="G7">
        <v>127.68</v>
      </c>
      <c r="P7" t="s">
        <v>20</v>
      </c>
    </row>
    <row r="8" spans="1:17" x14ac:dyDescent="0.25">
      <c r="B8">
        <v>34</v>
      </c>
      <c r="C8">
        <f t="shared" si="1"/>
        <v>135.66</v>
      </c>
      <c r="D8">
        <v>68</v>
      </c>
      <c r="E8">
        <f t="shared" si="0"/>
        <v>202.64</v>
      </c>
      <c r="F8">
        <f t="shared" si="2"/>
        <v>2.3917808812356119E-3</v>
      </c>
      <c r="G8">
        <v>135.66</v>
      </c>
      <c r="P8" t="s">
        <v>21</v>
      </c>
      <c r="Q8">
        <v>94.713999999999999</v>
      </c>
    </row>
    <row r="9" spans="1:17" x14ac:dyDescent="0.25">
      <c r="B9">
        <v>36</v>
      </c>
      <c r="C9">
        <f t="shared" si="1"/>
        <v>143.64000000000001</v>
      </c>
      <c r="D9">
        <v>67</v>
      </c>
      <c r="E9">
        <f t="shared" si="0"/>
        <v>199.66</v>
      </c>
      <c r="F9">
        <f t="shared" si="2"/>
        <v>2.4323881482810543E-3</v>
      </c>
      <c r="G9">
        <v>143.64000000000001</v>
      </c>
      <c r="P9" t="s">
        <v>22</v>
      </c>
      <c r="Q9">
        <f>AVERAGE(Q3:Q8)</f>
        <v>91.215500000000006</v>
      </c>
    </row>
    <row r="10" spans="1:17" x14ac:dyDescent="0.25">
      <c r="B10">
        <v>38</v>
      </c>
      <c r="C10">
        <f t="shared" si="1"/>
        <v>151.62</v>
      </c>
      <c r="D10">
        <v>67</v>
      </c>
      <c r="E10">
        <f t="shared" si="0"/>
        <v>199.66</v>
      </c>
      <c r="F10">
        <f t="shared" si="2"/>
        <v>2.4323881482810543E-3</v>
      </c>
      <c r="G10">
        <v>151.62</v>
      </c>
      <c r="P10" t="s">
        <v>23</v>
      </c>
      <c r="Q10">
        <f>STDEV(Q3:Q8)</f>
        <v>16.355901962288691</v>
      </c>
    </row>
    <row r="11" spans="1:17" x14ac:dyDescent="0.25">
      <c r="B11">
        <v>40</v>
      </c>
      <c r="C11">
        <f t="shared" si="1"/>
        <v>159.60000000000002</v>
      </c>
      <c r="D11">
        <v>66</v>
      </c>
      <c r="E11">
        <f t="shared" si="0"/>
        <v>196.68</v>
      </c>
      <c r="F11">
        <f t="shared" si="2"/>
        <v>2.4743111865445011E-3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D12">
        <v>25</v>
      </c>
      <c r="E12">
        <f t="shared" si="0"/>
        <v>74.5</v>
      </c>
      <c r="F12">
        <f t="shared" si="2"/>
        <v>7.4567518401223581E-3</v>
      </c>
      <c r="G12">
        <v>199.5</v>
      </c>
    </row>
    <row r="17" spans="1:7" x14ac:dyDescent="0.25">
      <c r="A17" t="s">
        <v>11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E19">
        <f t="shared" ref="E19:E28" si="3">D19*2.98</f>
        <v>0</v>
      </c>
      <c r="F19" t="e">
        <f>E19^(-1/0.88)</f>
        <v>#DIV/0!</v>
      </c>
      <c r="G19">
        <v>95.76</v>
      </c>
    </row>
    <row r="20" spans="1:7" x14ac:dyDescent="0.25">
      <c r="B20">
        <v>26</v>
      </c>
      <c r="C20">
        <f t="shared" ref="C20:C28" si="4">B20*3.99</f>
        <v>103.74000000000001</v>
      </c>
      <c r="E20">
        <f t="shared" si="3"/>
        <v>0</v>
      </c>
      <c r="F20" t="e">
        <f>E20^(-1/0.88)</f>
        <v>#DIV/0!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D21">
        <v>297</v>
      </c>
      <c r="E21">
        <f t="shared" si="3"/>
        <v>885.06</v>
      </c>
      <c r="F21">
        <f>E21^(-1/0.88)</f>
        <v>4.4788588000246822E-4</v>
      </c>
      <c r="G21">
        <v>111.72</v>
      </c>
    </row>
    <row r="22" spans="1:7" x14ac:dyDescent="0.25">
      <c r="B22">
        <v>30</v>
      </c>
      <c r="C22">
        <f t="shared" si="4"/>
        <v>119.7</v>
      </c>
      <c r="D22">
        <v>286</v>
      </c>
      <c r="E22">
        <f t="shared" si="3"/>
        <v>852.28</v>
      </c>
      <c r="F22">
        <f t="shared" ref="F22:F28" si="5">E22^(-1/0.88)</f>
        <v>4.675120875760057E-4</v>
      </c>
      <c r="G22">
        <v>119.7</v>
      </c>
    </row>
    <row r="23" spans="1:7" x14ac:dyDescent="0.25">
      <c r="B23">
        <v>32</v>
      </c>
      <c r="C23">
        <f t="shared" si="4"/>
        <v>127.68</v>
      </c>
      <c r="D23">
        <v>207</v>
      </c>
      <c r="E23">
        <f t="shared" si="3"/>
        <v>616.86</v>
      </c>
      <c r="F23">
        <f t="shared" si="5"/>
        <v>6.7504604674005139E-4</v>
      </c>
      <c r="G23">
        <v>127.68</v>
      </c>
    </row>
    <row r="24" spans="1:7" x14ac:dyDescent="0.25">
      <c r="B24">
        <v>34</v>
      </c>
      <c r="C24">
        <f t="shared" si="4"/>
        <v>135.66</v>
      </c>
      <c r="D24">
        <v>206</v>
      </c>
      <c r="E24">
        <f t="shared" si="3"/>
        <v>613.88</v>
      </c>
      <c r="F24">
        <f t="shared" si="5"/>
        <v>6.7877105314864813E-4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152</v>
      </c>
      <c r="E25">
        <f t="shared" si="3"/>
        <v>452.96</v>
      </c>
      <c r="F25">
        <f t="shared" si="5"/>
        <v>9.5884888630921763E-4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149</v>
      </c>
      <c r="E26">
        <f t="shared" si="3"/>
        <v>444.02</v>
      </c>
      <c r="F26">
        <f t="shared" si="5"/>
        <v>9.8081710528519217E-4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146</v>
      </c>
      <c r="E27">
        <f t="shared" si="3"/>
        <v>435.08</v>
      </c>
      <c r="F27">
        <f t="shared" si="5"/>
        <v>1.0037510212628281E-3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D28">
        <v>129</v>
      </c>
      <c r="E28">
        <f t="shared" si="3"/>
        <v>384.42</v>
      </c>
      <c r="F28">
        <f t="shared" si="5"/>
        <v>1.1553683960198739E-3</v>
      </c>
      <c r="G28">
        <v>199.5</v>
      </c>
    </row>
    <row r="33" spans="1:7" x14ac:dyDescent="0.25">
      <c r="A33" t="s">
        <v>12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E35">
        <f t="shared" ref="E35:E44" si="6">D35*2.98</f>
        <v>0</v>
      </c>
      <c r="F35" t="e">
        <f>E35^(-1/0.88)</f>
        <v>#DIV/0!</v>
      </c>
      <c r="G35">
        <v>95.76</v>
      </c>
    </row>
    <row r="36" spans="1:7" x14ac:dyDescent="0.25">
      <c r="B36">
        <v>26</v>
      </c>
      <c r="C36">
        <f t="shared" ref="C36:C44" si="7">B36*3.99</f>
        <v>103.74000000000001</v>
      </c>
      <c r="E36">
        <f t="shared" si="6"/>
        <v>0</v>
      </c>
      <c r="F36" t="e">
        <f>E36^(-1/0.88)</f>
        <v>#DIV/0!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E37">
        <f t="shared" si="6"/>
        <v>0</v>
      </c>
      <c r="F37" t="e">
        <f>E37^(-1/0.88)</f>
        <v>#DIV/0!</v>
      </c>
      <c r="G37">
        <v>111.72</v>
      </c>
    </row>
    <row r="38" spans="1:7" x14ac:dyDescent="0.25">
      <c r="B38">
        <v>30</v>
      </c>
      <c r="C38">
        <f t="shared" si="7"/>
        <v>119.7</v>
      </c>
      <c r="D38">
        <v>94</v>
      </c>
      <c r="E38">
        <f t="shared" si="6"/>
        <v>280.12</v>
      </c>
      <c r="F38">
        <f t="shared" ref="F38:F44" si="8">E38^(-1/0.88)</f>
        <v>1.6554922004921116E-3</v>
      </c>
      <c r="G38">
        <v>119.7</v>
      </c>
    </row>
    <row r="39" spans="1:7" x14ac:dyDescent="0.25">
      <c r="B39">
        <v>32</v>
      </c>
      <c r="C39">
        <f t="shared" si="7"/>
        <v>127.68</v>
      </c>
      <c r="D39">
        <v>71</v>
      </c>
      <c r="E39">
        <f t="shared" si="6"/>
        <v>211.58</v>
      </c>
      <c r="F39">
        <f t="shared" si="8"/>
        <v>2.2772736065616657E-3</v>
      </c>
      <c r="G39">
        <v>127.68</v>
      </c>
    </row>
    <row r="40" spans="1:7" x14ac:dyDescent="0.25">
      <c r="B40">
        <v>34</v>
      </c>
      <c r="C40">
        <f t="shared" si="7"/>
        <v>135.66</v>
      </c>
      <c r="D40">
        <v>70</v>
      </c>
      <c r="E40">
        <f t="shared" si="6"/>
        <v>208.6</v>
      </c>
      <c r="F40">
        <f t="shared" si="8"/>
        <v>2.3142781953323513E-3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D41">
        <v>68</v>
      </c>
      <c r="E41">
        <f t="shared" si="6"/>
        <v>202.64</v>
      </c>
      <c r="F41">
        <f t="shared" si="8"/>
        <v>2.3917808812356119E-3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D42">
        <v>38</v>
      </c>
      <c r="E42">
        <f t="shared" si="6"/>
        <v>113.24</v>
      </c>
      <c r="F42">
        <f t="shared" si="8"/>
        <v>4.6335008733165064E-3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D43">
        <v>38</v>
      </c>
      <c r="E43">
        <f t="shared" si="6"/>
        <v>113.24</v>
      </c>
      <c r="F43">
        <f t="shared" si="8"/>
        <v>4.6335008733165064E-3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D44">
        <v>32</v>
      </c>
      <c r="E44">
        <f t="shared" si="6"/>
        <v>95.36</v>
      </c>
      <c r="F44">
        <f t="shared" si="8"/>
        <v>5.6327461460243889E-3</v>
      </c>
      <c r="G44">
        <v>199.5</v>
      </c>
    </row>
    <row r="48" spans="1:7" x14ac:dyDescent="0.25">
      <c r="A48" t="s">
        <v>58</v>
      </c>
    </row>
    <row r="49" spans="1:7" x14ac:dyDescent="0.25">
      <c r="B49" t="s">
        <v>0</v>
      </c>
      <c r="C49" t="s">
        <v>4</v>
      </c>
      <c r="D49" t="s">
        <v>1</v>
      </c>
      <c r="E49" t="s">
        <v>2</v>
      </c>
      <c r="F49" t="s">
        <v>3</v>
      </c>
    </row>
    <row r="50" spans="1:7" x14ac:dyDescent="0.25">
      <c r="B50">
        <v>24</v>
      </c>
      <c r="C50">
        <f>B50*3.99</f>
        <v>95.76</v>
      </c>
      <c r="E50">
        <f t="shared" ref="E50:E59" si="9">D50*2.98</f>
        <v>0</v>
      </c>
      <c r="F50" t="e">
        <f>E50^(-1/0.88)</f>
        <v>#DIV/0!</v>
      </c>
      <c r="G50">
        <v>95.76</v>
      </c>
    </row>
    <row r="51" spans="1:7" x14ac:dyDescent="0.25">
      <c r="B51">
        <v>26</v>
      </c>
      <c r="C51">
        <f t="shared" ref="C51:C59" si="10">B51*3.99</f>
        <v>103.74000000000001</v>
      </c>
      <c r="E51">
        <f t="shared" si="9"/>
        <v>0</v>
      </c>
      <c r="F51" t="e">
        <f>E51^(-1/0.88)</f>
        <v>#DIV/0!</v>
      </c>
      <c r="G51">
        <v>103.74000000000001</v>
      </c>
    </row>
    <row r="52" spans="1:7" x14ac:dyDescent="0.25">
      <c r="B52">
        <v>28</v>
      </c>
      <c r="C52">
        <f t="shared" si="10"/>
        <v>111.72</v>
      </c>
      <c r="E52">
        <f t="shared" si="9"/>
        <v>0</v>
      </c>
      <c r="F52" t="e">
        <f>E52^(-1/0.88)</f>
        <v>#DIV/0!</v>
      </c>
      <c r="G52">
        <v>111.72</v>
      </c>
    </row>
    <row r="53" spans="1:7" x14ac:dyDescent="0.25">
      <c r="B53">
        <v>30</v>
      </c>
      <c r="C53">
        <f t="shared" si="10"/>
        <v>119.7</v>
      </c>
      <c r="D53">
        <v>390</v>
      </c>
      <c r="E53">
        <f t="shared" si="9"/>
        <v>1162.2</v>
      </c>
      <c r="F53">
        <f t="shared" ref="F53:F59" si="11">E53^(-1/0.88)</f>
        <v>3.2864443511493075E-4</v>
      </c>
      <c r="G53">
        <v>119.7</v>
      </c>
    </row>
    <row r="54" spans="1:7" x14ac:dyDescent="0.25">
      <c r="B54">
        <v>32</v>
      </c>
      <c r="C54">
        <f t="shared" si="10"/>
        <v>127.68</v>
      </c>
      <c r="D54">
        <v>389</v>
      </c>
      <c r="E54">
        <f t="shared" si="9"/>
        <v>1159.22</v>
      </c>
      <c r="F54">
        <f t="shared" si="11"/>
        <v>3.2960465361095122E-4</v>
      </c>
      <c r="G54">
        <v>127.68</v>
      </c>
    </row>
    <row r="55" spans="1:7" x14ac:dyDescent="0.25">
      <c r="B55">
        <v>34</v>
      </c>
      <c r="C55">
        <f t="shared" si="10"/>
        <v>135.66</v>
      </c>
      <c r="D55">
        <v>389</v>
      </c>
      <c r="E55">
        <f t="shared" si="9"/>
        <v>1159.22</v>
      </c>
      <c r="F55">
        <f t="shared" si="11"/>
        <v>3.2960465361095122E-4</v>
      </c>
      <c r="G55">
        <v>135.66</v>
      </c>
    </row>
    <row r="56" spans="1:7" x14ac:dyDescent="0.25">
      <c r="B56">
        <v>36</v>
      </c>
      <c r="C56">
        <f t="shared" si="10"/>
        <v>143.64000000000001</v>
      </c>
      <c r="D56">
        <v>364</v>
      </c>
      <c r="E56">
        <f t="shared" si="9"/>
        <v>1084.72</v>
      </c>
      <c r="F56">
        <f t="shared" si="11"/>
        <v>3.554474478636509E-4</v>
      </c>
      <c r="G56">
        <v>143.64000000000001</v>
      </c>
    </row>
    <row r="57" spans="1:7" x14ac:dyDescent="0.25">
      <c r="B57">
        <v>38</v>
      </c>
      <c r="C57">
        <f t="shared" si="10"/>
        <v>151.62</v>
      </c>
      <c r="D57">
        <v>166</v>
      </c>
      <c r="E57">
        <f t="shared" si="9"/>
        <v>494.68</v>
      </c>
      <c r="F57">
        <f t="shared" si="11"/>
        <v>8.67496600719948E-4</v>
      </c>
      <c r="G57">
        <v>151.62</v>
      </c>
    </row>
    <row r="58" spans="1:7" x14ac:dyDescent="0.25">
      <c r="B58">
        <v>40</v>
      </c>
      <c r="C58">
        <f t="shared" si="10"/>
        <v>159.60000000000002</v>
      </c>
      <c r="D58">
        <v>165</v>
      </c>
      <c r="E58">
        <f t="shared" si="9"/>
        <v>491.7</v>
      </c>
      <c r="F58">
        <f t="shared" si="11"/>
        <v>8.7347355971939967E-4</v>
      </c>
      <c r="G58">
        <v>159.60000000000002</v>
      </c>
    </row>
    <row r="59" spans="1:7" x14ac:dyDescent="0.25">
      <c r="B59">
        <v>50</v>
      </c>
      <c r="C59">
        <f t="shared" si="10"/>
        <v>199.5</v>
      </c>
      <c r="D59">
        <v>149</v>
      </c>
      <c r="E59">
        <f t="shared" si="9"/>
        <v>444.02</v>
      </c>
      <c r="F59">
        <f t="shared" si="11"/>
        <v>9.8081710528519217E-4</v>
      </c>
      <c r="G59">
        <v>199.5</v>
      </c>
    </row>
    <row r="64" spans="1:7" x14ac:dyDescent="0.25">
      <c r="A64" t="s">
        <v>31</v>
      </c>
    </row>
    <row r="65" spans="1:7" x14ac:dyDescent="0.25">
      <c r="B65" t="s">
        <v>0</v>
      </c>
      <c r="C65" t="s">
        <v>4</v>
      </c>
      <c r="D65" t="s">
        <v>1</v>
      </c>
      <c r="E65" t="s">
        <v>2</v>
      </c>
      <c r="F65" t="s">
        <v>3</v>
      </c>
    </row>
    <row r="66" spans="1:7" x14ac:dyDescent="0.25">
      <c r="B66">
        <v>24</v>
      </c>
      <c r="C66">
        <f>B66*3.99</f>
        <v>95.76</v>
      </c>
      <c r="E66">
        <f t="shared" ref="E66:E75" si="12">D66*2.98</f>
        <v>0</v>
      </c>
      <c r="F66" t="e">
        <f>E66^(-1/0.88)</f>
        <v>#DIV/0!</v>
      </c>
      <c r="G66">
        <v>95.76</v>
      </c>
    </row>
    <row r="67" spans="1:7" x14ac:dyDescent="0.25">
      <c r="B67">
        <v>26</v>
      </c>
      <c r="C67">
        <f t="shared" ref="C67:C75" si="13">B67*3.99</f>
        <v>103.74000000000001</v>
      </c>
      <c r="E67">
        <f t="shared" si="12"/>
        <v>0</v>
      </c>
      <c r="F67" t="e">
        <f>E67^(-1/0.88)</f>
        <v>#DIV/0!</v>
      </c>
      <c r="G67">
        <v>103.74000000000001</v>
      </c>
    </row>
    <row r="68" spans="1:7" x14ac:dyDescent="0.25">
      <c r="B68">
        <v>28</v>
      </c>
      <c r="C68">
        <f t="shared" si="13"/>
        <v>111.72</v>
      </c>
      <c r="E68">
        <f t="shared" si="12"/>
        <v>0</v>
      </c>
      <c r="F68" t="e">
        <f>E68^(-1/0.88)</f>
        <v>#DIV/0!</v>
      </c>
      <c r="G68">
        <v>111.72</v>
      </c>
    </row>
    <row r="69" spans="1:7" x14ac:dyDescent="0.25">
      <c r="B69">
        <v>30</v>
      </c>
      <c r="C69">
        <f t="shared" si="13"/>
        <v>119.7</v>
      </c>
      <c r="E69">
        <f t="shared" si="12"/>
        <v>0</v>
      </c>
      <c r="F69" t="e">
        <f t="shared" ref="F69:F75" si="14">E69^(-1/0.88)</f>
        <v>#DIV/0!</v>
      </c>
      <c r="G69">
        <v>119.7</v>
      </c>
    </row>
    <row r="70" spans="1:7" x14ac:dyDescent="0.25">
      <c r="B70">
        <v>32</v>
      </c>
      <c r="C70">
        <f t="shared" si="13"/>
        <v>127.68</v>
      </c>
      <c r="E70">
        <f t="shared" si="12"/>
        <v>0</v>
      </c>
      <c r="F70" t="e">
        <f t="shared" si="14"/>
        <v>#DIV/0!</v>
      </c>
      <c r="G70">
        <v>127.68</v>
      </c>
    </row>
    <row r="71" spans="1:7" x14ac:dyDescent="0.25">
      <c r="B71">
        <v>34</v>
      </c>
      <c r="C71">
        <f t="shared" si="13"/>
        <v>135.66</v>
      </c>
      <c r="D71">
        <v>201</v>
      </c>
      <c r="E71">
        <f t="shared" si="12"/>
        <v>598.98</v>
      </c>
      <c r="F71">
        <f t="shared" si="14"/>
        <v>6.9799069762664298E-4</v>
      </c>
      <c r="G71">
        <v>135.66</v>
      </c>
    </row>
    <row r="72" spans="1:7" x14ac:dyDescent="0.25">
      <c r="B72">
        <v>36</v>
      </c>
      <c r="C72">
        <f t="shared" si="13"/>
        <v>143.64000000000001</v>
      </c>
      <c r="D72">
        <v>171</v>
      </c>
      <c r="E72">
        <f t="shared" si="12"/>
        <v>509.58</v>
      </c>
      <c r="F72">
        <f t="shared" si="14"/>
        <v>8.3873024032833881E-4</v>
      </c>
      <c r="G72">
        <v>143.64000000000001</v>
      </c>
    </row>
    <row r="73" spans="1:7" x14ac:dyDescent="0.25">
      <c r="B73">
        <v>38</v>
      </c>
      <c r="C73">
        <f t="shared" si="13"/>
        <v>151.62</v>
      </c>
      <c r="D73">
        <v>164</v>
      </c>
      <c r="E73">
        <f t="shared" si="12"/>
        <v>488.71999999999997</v>
      </c>
      <c r="F73">
        <f t="shared" si="14"/>
        <v>8.7952841049836791E-4</v>
      </c>
      <c r="G73">
        <v>151.62</v>
      </c>
    </row>
    <row r="74" spans="1:7" x14ac:dyDescent="0.25">
      <c r="B74">
        <v>40</v>
      </c>
      <c r="C74">
        <f t="shared" si="13"/>
        <v>159.60000000000002</v>
      </c>
      <c r="D74">
        <v>162</v>
      </c>
      <c r="E74">
        <f t="shared" si="12"/>
        <v>482.76</v>
      </c>
      <c r="F74">
        <f t="shared" si="14"/>
        <v>8.918778232099451E-4</v>
      </c>
      <c r="G74">
        <v>159.60000000000002</v>
      </c>
    </row>
    <row r="75" spans="1:7" x14ac:dyDescent="0.25">
      <c r="B75">
        <v>50</v>
      </c>
      <c r="C75">
        <f t="shared" si="13"/>
        <v>199.5</v>
      </c>
      <c r="D75">
        <v>150</v>
      </c>
      <c r="E75">
        <f t="shared" si="12"/>
        <v>447</v>
      </c>
      <c r="F75">
        <f t="shared" si="14"/>
        <v>9.7339005664098842E-4</v>
      </c>
      <c r="G75">
        <v>199.5</v>
      </c>
    </row>
    <row r="80" spans="1:7" x14ac:dyDescent="0.25">
      <c r="A80" t="s">
        <v>32</v>
      </c>
    </row>
    <row r="81" spans="2:7" x14ac:dyDescent="0.25">
      <c r="B81" t="s">
        <v>0</v>
      </c>
      <c r="C81" t="s">
        <v>4</v>
      </c>
      <c r="D81" t="s">
        <v>1</v>
      </c>
      <c r="E81" t="s">
        <v>2</v>
      </c>
      <c r="F81" t="s">
        <v>3</v>
      </c>
    </row>
    <row r="82" spans="2:7" x14ac:dyDescent="0.25">
      <c r="B82">
        <v>24</v>
      </c>
      <c r="C82">
        <f>B82*3.99</f>
        <v>95.76</v>
      </c>
      <c r="E82">
        <f t="shared" ref="E82:E91" si="15">D82*2.98</f>
        <v>0</v>
      </c>
      <c r="F82" t="e">
        <f>E82^(-1/0.88)</f>
        <v>#DIV/0!</v>
      </c>
      <c r="G82">
        <v>95.76</v>
      </c>
    </row>
    <row r="83" spans="2:7" x14ac:dyDescent="0.25">
      <c r="B83">
        <v>26</v>
      </c>
      <c r="C83">
        <f t="shared" ref="C83:C91" si="16">B83*3.99</f>
        <v>103.74000000000001</v>
      </c>
      <c r="E83">
        <f t="shared" si="15"/>
        <v>0</v>
      </c>
      <c r="F83" t="e">
        <f>E83^(-1/0.88)</f>
        <v>#DIV/0!</v>
      </c>
      <c r="G83">
        <v>103.74000000000001</v>
      </c>
    </row>
    <row r="84" spans="2:7" x14ac:dyDescent="0.25">
      <c r="B84">
        <v>28</v>
      </c>
      <c r="C84">
        <f t="shared" si="16"/>
        <v>111.72</v>
      </c>
      <c r="E84">
        <f t="shared" si="15"/>
        <v>0</v>
      </c>
      <c r="F84" t="e">
        <f>E84^(-1/0.88)</f>
        <v>#DIV/0!</v>
      </c>
      <c r="G84">
        <v>111.72</v>
      </c>
    </row>
    <row r="85" spans="2:7" x14ac:dyDescent="0.25">
      <c r="B85">
        <v>30</v>
      </c>
      <c r="C85">
        <f t="shared" si="16"/>
        <v>119.7</v>
      </c>
      <c r="E85">
        <f t="shared" si="15"/>
        <v>0</v>
      </c>
      <c r="F85" t="e">
        <f t="shared" ref="F85:F91" si="17">E85^(-1/0.88)</f>
        <v>#DIV/0!</v>
      </c>
      <c r="G85">
        <v>119.7</v>
      </c>
    </row>
    <row r="86" spans="2:7" x14ac:dyDescent="0.25">
      <c r="B86">
        <v>32</v>
      </c>
      <c r="C86">
        <f t="shared" si="16"/>
        <v>127.68</v>
      </c>
      <c r="E86">
        <f t="shared" si="15"/>
        <v>0</v>
      </c>
      <c r="F86" t="e">
        <f t="shared" si="17"/>
        <v>#DIV/0!</v>
      </c>
      <c r="G86">
        <v>127.68</v>
      </c>
    </row>
    <row r="87" spans="2:7" x14ac:dyDescent="0.25">
      <c r="B87">
        <v>34</v>
      </c>
      <c r="C87">
        <f t="shared" si="16"/>
        <v>135.66</v>
      </c>
      <c r="D87">
        <v>98</v>
      </c>
      <c r="E87">
        <f t="shared" si="15"/>
        <v>292.04000000000002</v>
      </c>
      <c r="F87">
        <f t="shared" si="17"/>
        <v>1.5789230960959535E-3</v>
      </c>
      <c r="G87">
        <v>135.66</v>
      </c>
    </row>
    <row r="88" spans="2:7" x14ac:dyDescent="0.25">
      <c r="B88">
        <v>36</v>
      </c>
      <c r="C88">
        <f t="shared" si="16"/>
        <v>143.64000000000001</v>
      </c>
      <c r="D88">
        <v>80</v>
      </c>
      <c r="E88">
        <f t="shared" si="15"/>
        <v>238.4</v>
      </c>
      <c r="F88">
        <f t="shared" si="17"/>
        <v>1.9884543439480438E-3</v>
      </c>
      <c r="G88">
        <v>143.64000000000001</v>
      </c>
    </row>
    <row r="89" spans="2:7" x14ac:dyDescent="0.25">
      <c r="B89">
        <v>38</v>
      </c>
      <c r="C89">
        <f t="shared" si="16"/>
        <v>151.62</v>
      </c>
      <c r="D89">
        <v>71</v>
      </c>
      <c r="E89">
        <f t="shared" si="15"/>
        <v>211.58</v>
      </c>
      <c r="F89">
        <f t="shared" si="17"/>
        <v>2.2772736065616657E-3</v>
      </c>
      <c r="G89">
        <v>151.62</v>
      </c>
    </row>
    <row r="90" spans="2:7" x14ac:dyDescent="0.25">
      <c r="B90">
        <v>40</v>
      </c>
      <c r="C90">
        <f t="shared" si="16"/>
        <v>159.60000000000002</v>
      </c>
      <c r="D90">
        <v>65</v>
      </c>
      <c r="E90">
        <f t="shared" si="15"/>
        <v>193.7</v>
      </c>
      <c r="F90">
        <f t="shared" si="17"/>
        <v>2.5176135502615734E-3</v>
      </c>
      <c r="G90">
        <v>159.60000000000002</v>
      </c>
    </row>
    <row r="91" spans="2:7" x14ac:dyDescent="0.25">
      <c r="B91">
        <v>50</v>
      </c>
      <c r="C91">
        <f t="shared" si="16"/>
        <v>199.5</v>
      </c>
      <c r="D91">
        <v>20</v>
      </c>
      <c r="E91">
        <f t="shared" si="15"/>
        <v>59.6</v>
      </c>
      <c r="F91">
        <f t="shared" si="17"/>
        <v>9.6089228144152165E-3</v>
      </c>
      <c r="G91">
        <v>199.5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0"/>
  <sheetViews>
    <sheetView topLeftCell="E1" workbookViewId="0">
      <selection activeCell="Q3" sqref="Q3:Q10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5.28515625" bestFit="1" customWidth="1"/>
    <col min="17" max="17" width="16.5703125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E3">
        <f t="shared" ref="E3:E12" si="0">D3*2.98</f>
        <v>0</v>
      </c>
      <c r="F3" t="e">
        <f>E3^(-1/0.88)</f>
        <v>#DIV/0!</v>
      </c>
      <c r="G3">
        <v>95.76</v>
      </c>
      <c r="P3" t="s">
        <v>16</v>
      </c>
      <c r="Q3">
        <v>119.69</v>
      </c>
    </row>
    <row r="4" spans="1:17" x14ac:dyDescent="0.25">
      <c r="B4">
        <v>26</v>
      </c>
      <c r="C4">
        <f t="shared" ref="C4:C12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P4" t="s">
        <v>17</v>
      </c>
      <c r="Q4">
        <v>105.79</v>
      </c>
    </row>
    <row r="5" spans="1:17" x14ac:dyDescent="0.25">
      <c r="B5">
        <v>28</v>
      </c>
      <c r="C5">
        <f t="shared" si="1"/>
        <v>111.72</v>
      </c>
      <c r="E5">
        <f t="shared" si="0"/>
        <v>0</v>
      </c>
      <c r="F5" t="e">
        <f>E5^(-1/0.88)</f>
        <v>#DIV/0!</v>
      </c>
      <c r="G5">
        <v>111.72</v>
      </c>
      <c r="P5" t="s">
        <v>18</v>
      </c>
      <c r="Q5">
        <v>119.75</v>
      </c>
    </row>
    <row r="6" spans="1:17" x14ac:dyDescent="0.25">
      <c r="B6">
        <v>30</v>
      </c>
      <c r="C6">
        <f t="shared" si="1"/>
        <v>119.7</v>
      </c>
      <c r="E6">
        <f t="shared" si="0"/>
        <v>0</v>
      </c>
      <c r="F6" t="e">
        <f t="shared" ref="F6:F12" si="2">E6^(-1/0.88)</f>
        <v>#DIV/0!</v>
      </c>
      <c r="G6">
        <v>119.7</v>
      </c>
      <c r="P6" t="s">
        <v>19</v>
      </c>
      <c r="Q6">
        <v>108.6</v>
      </c>
    </row>
    <row r="7" spans="1:17" x14ac:dyDescent="0.25">
      <c r="B7">
        <v>32</v>
      </c>
      <c r="C7">
        <f t="shared" si="1"/>
        <v>127.68</v>
      </c>
      <c r="D7">
        <v>181</v>
      </c>
      <c r="E7">
        <f t="shared" si="0"/>
        <v>539.38</v>
      </c>
      <c r="F7">
        <f t="shared" si="2"/>
        <v>7.8627423847093473E-4</v>
      </c>
      <c r="G7">
        <v>127.68</v>
      </c>
      <c r="P7" t="s">
        <v>20</v>
      </c>
      <c r="Q7">
        <v>111.3</v>
      </c>
    </row>
    <row r="8" spans="1:17" x14ac:dyDescent="0.25">
      <c r="B8">
        <v>34</v>
      </c>
      <c r="C8">
        <f t="shared" si="1"/>
        <v>135.66</v>
      </c>
      <c r="D8">
        <v>110</v>
      </c>
      <c r="E8">
        <f t="shared" si="0"/>
        <v>327.8</v>
      </c>
      <c r="F8">
        <f t="shared" si="2"/>
        <v>1.3846929044966517E-3</v>
      </c>
      <c r="G8">
        <v>135.66</v>
      </c>
      <c r="P8" t="s">
        <v>21</v>
      </c>
      <c r="Q8">
        <v>127.79</v>
      </c>
    </row>
    <row r="9" spans="1:17" x14ac:dyDescent="0.25">
      <c r="B9">
        <v>36</v>
      </c>
      <c r="C9">
        <f t="shared" si="1"/>
        <v>143.64000000000001</v>
      </c>
      <c r="D9">
        <v>107</v>
      </c>
      <c r="E9">
        <f t="shared" si="0"/>
        <v>318.86</v>
      </c>
      <c r="F9">
        <f t="shared" si="2"/>
        <v>1.4288938023730643E-3</v>
      </c>
      <c r="G9">
        <v>143.64000000000001</v>
      </c>
      <c r="P9" t="s">
        <v>22</v>
      </c>
      <c r="Q9">
        <f>AVERAGE(Q3:Q8)</f>
        <v>115.48666666666666</v>
      </c>
    </row>
    <row r="10" spans="1:17" x14ac:dyDescent="0.25">
      <c r="B10">
        <v>38</v>
      </c>
      <c r="C10">
        <f t="shared" si="1"/>
        <v>151.62</v>
      </c>
      <c r="D10">
        <v>106</v>
      </c>
      <c r="E10">
        <f t="shared" si="0"/>
        <v>315.88</v>
      </c>
      <c r="F10">
        <f t="shared" si="2"/>
        <v>1.4442219586439349E-3</v>
      </c>
      <c r="G10">
        <v>151.62</v>
      </c>
      <c r="P10" t="s">
        <v>23</v>
      </c>
      <c r="Q10">
        <f>STDEV(Q3:Q8)</f>
        <v>8.321006349394688</v>
      </c>
    </row>
    <row r="11" spans="1:17" x14ac:dyDescent="0.25">
      <c r="B11">
        <v>40</v>
      </c>
      <c r="C11">
        <f t="shared" si="1"/>
        <v>159.60000000000002</v>
      </c>
      <c r="D11">
        <v>104</v>
      </c>
      <c r="E11">
        <f t="shared" si="0"/>
        <v>309.92</v>
      </c>
      <c r="F11">
        <f t="shared" si="2"/>
        <v>1.4758239082886936E-3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D12">
        <v>39</v>
      </c>
      <c r="E12">
        <f t="shared" si="0"/>
        <v>116.22</v>
      </c>
      <c r="F12">
        <f t="shared" si="2"/>
        <v>4.4987298993004231E-3</v>
      </c>
      <c r="G12">
        <v>199.5</v>
      </c>
    </row>
    <row r="18" spans="1:7" x14ac:dyDescent="0.25">
      <c r="A18" t="s">
        <v>25</v>
      </c>
    </row>
    <row r="19" spans="1:7" x14ac:dyDescent="0.25">
      <c r="B19" t="s">
        <v>0</v>
      </c>
      <c r="C19" t="s">
        <v>4</v>
      </c>
      <c r="D19" t="s">
        <v>1</v>
      </c>
      <c r="E19" t="s">
        <v>2</v>
      </c>
      <c r="F19" t="s">
        <v>3</v>
      </c>
    </row>
    <row r="20" spans="1:7" x14ac:dyDescent="0.25">
      <c r="B20">
        <v>24</v>
      </c>
      <c r="C20">
        <f>B20*3.99</f>
        <v>95.76</v>
      </c>
      <c r="E20">
        <f t="shared" ref="E20:E29" si="3">D20*2.98</f>
        <v>0</v>
      </c>
      <c r="F20" t="e">
        <f>E20^(-1/0.88)</f>
        <v>#DIV/0!</v>
      </c>
      <c r="G20">
        <v>95.76</v>
      </c>
    </row>
    <row r="21" spans="1:7" x14ac:dyDescent="0.25">
      <c r="B21">
        <v>26</v>
      </c>
      <c r="C21">
        <f t="shared" ref="C21:C29" si="4">B21*3.99</f>
        <v>103.74000000000001</v>
      </c>
      <c r="E21">
        <f t="shared" si="3"/>
        <v>0</v>
      </c>
      <c r="F21" t="e">
        <f>E21^(-1/0.88)</f>
        <v>#DIV/0!</v>
      </c>
      <c r="G21">
        <v>103.74000000000001</v>
      </c>
    </row>
    <row r="22" spans="1:7" x14ac:dyDescent="0.25">
      <c r="B22">
        <v>28</v>
      </c>
      <c r="C22">
        <f t="shared" si="4"/>
        <v>111.72</v>
      </c>
      <c r="E22">
        <f t="shared" si="3"/>
        <v>0</v>
      </c>
      <c r="F22" t="e">
        <f>E22^(-1/0.88)</f>
        <v>#DIV/0!</v>
      </c>
      <c r="G22">
        <v>111.72</v>
      </c>
    </row>
    <row r="23" spans="1:7" x14ac:dyDescent="0.25">
      <c r="B23">
        <v>30</v>
      </c>
      <c r="C23">
        <f t="shared" si="4"/>
        <v>119.7</v>
      </c>
      <c r="E23">
        <f t="shared" si="3"/>
        <v>0</v>
      </c>
      <c r="F23" t="e">
        <f t="shared" ref="F23:F29" si="5">E23^(-1/0.88)</f>
        <v>#DIV/0!</v>
      </c>
      <c r="G23">
        <v>119.7</v>
      </c>
    </row>
    <row r="24" spans="1:7" x14ac:dyDescent="0.25">
      <c r="B24">
        <v>32</v>
      </c>
      <c r="C24">
        <f t="shared" si="4"/>
        <v>127.68</v>
      </c>
      <c r="D24">
        <v>211</v>
      </c>
      <c r="E24">
        <f t="shared" si="3"/>
        <v>628.78</v>
      </c>
      <c r="F24">
        <f t="shared" si="5"/>
        <v>6.6052280860589186E-4</v>
      </c>
      <c r="G24">
        <v>127.68</v>
      </c>
    </row>
    <row r="25" spans="1:7" x14ac:dyDescent="0.25">
      <c r="B25">
        <v>34</v>
      </c>
      <c r="C25">
        <f t="shared" si="4"/>
        <v>135.66</v>
      </c>
      <c r="D25">
        <v>157</v>
      </c>
      <c r="E25">
        <f t="shared" si="3"/>
        <v>467.86</v>
      </c>
      <c r="F25">
        <f t="shared" si="5"/>
        <v>9.2422426741514902E-4</v>
      </c>
      <c r="G25">
        <v>135.66</v>
      </c>
    </row>
    <row r="26" spans="1:7" x14ac:dyDescent="0.25">
      <c r="B26">
        <v>36</v>
      </c>
      <c r="C26">
        <f t="shared" si="4"/>
        <v>143.64000000000001</v>
      </c>
      <c r="D26">
        <v>141</v>
      </c>
      <c r="E26">
        <f t="shared" si="3"/>
        <v>420.18</v>
      </c>
      <c r="F26">
        <f t="shared" si="5"/>
        <v>1.0442955696210426E-3</v>
      </c>
      <c r="G26">
        <v>143.64000000000001</v>
      </c>
    </row>
    <row r="27" spans="1:7" x14ac:dyDescent="0.25">
      <c r="B27">
        <v>38</v>
      </c>
      <c r="C27">
        <f t="shared" si="4"/>
        <v>151.62</v>
      </c>
      <c r="D27">
        <v>114</v>
      </c>
      <c r="E27">
        <f t="shared" si="3"/>
        <v>339.71999999999997</v>
      </c>
      <c r="F27">
        <f t="shared" si="5"/>
        <v>1.3296153039165969E-3</v>
      </c>
      <c r="G27">
        <v>151.62</v>
      </c>
    </row>
    <row r="28" spans="1:7" x14ac:dyDescent="0.25">
      <c r="B28">
        <v>40</v>
      </c>
      <c r="C28">
        <f t="shared" si="4"/>
        <v>159.60000000000002</v>
      </c>
      <c r="D28">
        <v>90</v>
      </c>
      <c r="E28">
        <f t="shared" si="3"/>
        <v>268.2</v>
      </c>
      <c r="F28">
        <f t="shared" si="5"/>
        <v>1.7393531072461769E-3</v>
      </c>
      <c r="G28">
        <v>159.60000000000002</v>
      </c>
    </row>
    <row r="29" spans="1:7" x14ac:dyDescent="0.25">
      <c r="B29">
        <v>50</v>
      </c>
      <c r="C29">
        <f t="shared" si="4"/>
        <v>199.5</v>
      </c>
      <c r="D29">
        <v>60</v>
      </c>
      <c r="E29">
        <f t="shared" si="3"/>
        <v>178.8</v>
      </c>
      <c r="F29">
        <f t="shared" si="5"/>
        <v>2.7573472364655128E-3</v>
      </c>
      <c r="G29">
        <v>199.5</v>
      </c>
    </row>
    <row r="33" spans="1:7" x14ac:dyDescent="0.25">
      <c r="A33" t="s">
        <v>57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E35">
        <f t="shared" ref="E35:E44" si="6">D35*2.98</f>
        <v>0</v>
      </c>
      <c r="F35" t="e">
        <f>E35^(-1/0.88)</f>
        <v>#DIV/0!</v>
      </c>
      <c r="G35">
        <v>95.76</v>
      </c>
    </row>
    <row r="36" spans="1:7" x14ac:dyDescent="0.25">
      <c r="B36">
        <v>26</v>
      </c>
      <c r="C36">
        <f t="shared" ref="C36:C44" si="7">B36*3.99</f>
        <v>103.74000000000001</v>
      </c>
      <c r="E36">
        <f t="shared" si="6"/>
        <v>0</v>
      </c>
      <c r="F36" t="e">
        <f>E36^(-1/0.88)</f>
        <v>#DIV/0!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E37">
        <f t="shared" si="6"/>
        <v>0</v>
      </c>
      <c r="F37" t="e">
        <f>E37^(-1/0.88)</f>
        <v>#DIV/0!</v>
      </c>
      <c r="G37">
        <v>111.72</v>
      </c>
    </row>
    <row r="38" spans="1:7" x14ac:dyDescent="0.25">
      <c r="B38">
        <v>30</v>
      </c>
      <c r="C38">
        <f t="shared" si="7"/>
        <v>119.7</v>
      </c>
      <c r="E38">
        <f t="shared" si="6"/>
        <v>0</v>
      </c>
      <c r="F38" t="e">
        <f t="shared" ref="F38:F44" si="8">E38^(-1/0.88)</f>
        <v>#DIV/0!</v>
      </c>
      <c r="G38">
        <v>119.7</v>
      </c>
    </row>
    <row r="39" spans="1:7" x14ac:dyDescent="0.25">
      <c r="B39">
        <v>32</v>
      </c>
      <c r="C39">
        <f t="shared" si="7"/>
        <v>127.68</v>
      </c>
      <c r="D39">
        <v>181</v>
      </c>
      <c r="E39">
        <f t="shared" si="6"/>
        <v>539.38</v>
      </c>
      <c r="F39">
        <f t="shared" si="8"/>
        <v>7.8627423847093473E-4</v>
      </c>
      <c r="G39">
        <v>127.68</v>
      </c>
    </row>
    <row r="40" spans="1:7" x14ac:dyDescent="0.25">
      <c r="B40">
        <v>34</v>
      </c>
      <c r="C40">
        <f t="shared" si="7"/>
        <v>135.66</v>
      </c>
      <c r="D40">
        <v>110</v>
      </c>
      <c r="E40">
        <f t="shared" si="6"/>
        <v>327.8</v>
      </c>
      <c r="F40">
        <f t="shared" si="8"/>
        <v>1.3846929044966517E-3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D41">
        <v>108</v>
      </c>
      <c r="E41">
        <f t="shared" si="6"/>
        <v>321.83999999999997</v>
      </c>
      <c r="F41">
        <f t="shared" si="8"/>
        <v>1.4138686623479033E-3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D42">
        <v>106</v>
      </c>
      <c r="E42">
        <f t="shared" si="6"/>
        <v>315.88</v>
      </c>
      <c r="F42">
        <f t="shared" si="8"/>
        <v>1.4442219586439349E-3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D43">
        <v>104</v>
      </c>
      <c r="E43">
        <f t="shared" si="6"/>
        <v>309.92</v>
      </c>
      <c r="F43">
        <f t="shared" si="8"/>
        <v>1.4758239082886936E-3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D44">
        <v>39</v>
      </c>
      <c r="E44">
        <f t="shared" si="6"/>
        <v>116.22</v>
      </c>
      <c r="F44">
        <f t="shared" si="8"/>
        <v>4.4987298993004231E-3</v>
      </c>
      <c r="G44">
        <v>199.5</v>
      </c>
    </row>
    <row r="48" spans="1:7" x14ac:dyDescent="0.25">
      <c r="A48" t="s">
        <v>56</v>
      </c>
    </row>
    <row r="49" spans="1:7" x14ac:dyDescent="0.25">
      <c r="B49" t="s">
        <v>0</v>
      </c>
      <c r="C49" t="s">
        <v>4</v>
      </c>
      <c r="D49" t="s">
        <v>1</v>
      </c>
      <c r="E49" t="s">
        <v>2</v>
      </c>
      <c r="F49" t="s">
        <v>3</v>
      </c>
    </row>
    <row r="50" spans="1:7" x14ac:dyDescent="0.25">
      <c r="B50">
        <v>24</v>
      </c>
      <c r="C50">
        <f>B50*3.99</f>
        <v>95.76</v>
      </c>
      <c r="E50">
        <f t="shared" ref="E50:E59" si="9">D50*2.98</f>
        <v>0</v>
      </c>
      <c r="F50" t="e">
        <f>E50^(-1/0.88)</f>
        <v>#DIV/0!</v>
      </c>
      <c r="G50">
        <v>95.76</v>
      </c>
    </row>
    <row r="51" spans="1:7" x14ac:dyDescent="0.25">
      <c r="B51">
        <v>26</v>
      </c>
      <c r="C51">
        <f t="shared" ref="C51:C59" si="10">B51*3.99</f>
        <v>103.74000000000001</v>
      </c>
      <c r="E51">
        <f t="shared" si="9"/>
        <v>0</v>
      </c>
      <c r="F51" t="e">
        <f>E51^(-1/0.88)</f>
        <v>#DIV/0!</v>
      </c>
      <c r="G51">
        <v>103.74000000000001</v>
      </c>
    </row>
    <row r="52" spans="1:7" x14ac:dyDescent="0.25">
      <c r="B52">
        <v>28</v>
      </c>
      <c r="C52">
        <f t="shared" si="10"/>
        <v>111.72</v>
      </c>
      <c r="E52">
        <f t="shared" si="9"/>
        <v>0</v>
      </c>
      <c r="F52" t="e">
        <f>E52^(-1/0.88)</f>
        <v>#DIV/0!</v>
      </c>
      <c r="G52">
        <v>111.72</v>
      </c>
    </row>
    <row r="53" spans="1:7" x14ac:dyDescent="0.25">
      <c r="B53">
        <v>30</v>
      </c>
      <c r="C53">
        <f t="shared" si="10"/>
        <v>119.7</v>
      </c>
      <c r="E53">
        <f t="shared" si="9"/>
        <v>0</v>
      </c>
      <c r="F53" t="e">
        <f t="shared" ref="F53:F59" si="11">E53^(-1/0.88)</f>
        <v>#DIV/0!</v>
      </c>
      <c r="G53">
        <v>119.7</v>
      </c>
    </row>
    <row r="54" spans="1:7" x14ac:dyDescent="0.25">
      <c r="B54">
        <v>32</v>
      </c>
      <c r="C54">
        <f t="shared" si="10"/>
        <v>127.68</v>
      </c>
      <c r="D54">
        <v>179</v>
      </c>
      <c r="E54">
        <f t="shared" si="9"/>
        <v>533.41999999999996</v>
      </c>
      <c r="F54">
        <f t="shared" si="11"/>
        <v>7.962649864622504E-4</v>
      </c>
      <c r="G54">
        <v>127.68</v>
      </c>
    </row>
    <row r="55" spans="1:7" x14ac:dyDescent="0.25">
      <c r="B55">
        <v>34</v>
      </c>
      <c r="C55">
        <f t="shared" si="10"/>
        <v>135.66</v>
      </c>
      <c r="D55">
        <v>141</v>
      </c>
      <c r="E55">
        <f t="shared" si="9"/>
        <v>420.18</v>
      </c>
      <c r="F55">
        <f t="shared" si="11"/>
        <v>1.0442955696210426E-3</v>
      </c>
      <c r="G55">
        <v>135.66</v>
      </c>
    </row>
    <row r="56" spans="1:7" x14ac:dyDescent="0.25">
      <c r="B56">
        <v>36</v>
      </c>
      <c r="C56">
        <f t="shared" si="10"/>
        <v>143.64000000000001</v>
      </c>
      <c r="D56">
        <v>141</v>
      </c>
      <c r="E56">
        <f t="shared" si="9"/>
        <v>420.18</v>
      </c>
      <c r="F56">
        <f t="shared" si="11"/>
        <v>1.0442955696210426E-3</v>
      </c>
      <c r="G56">
        <v>143.64000000000001</v>
      </c>
    </row>
    <row r="57" spans="1:7" x14ac:dyDescent="0.25">
      <c r="B57">
        <v>38</v>
      </c>
      <c r="C57">
        <f t="shared" si="10"/>
        <v>151.62</v>
      </c>
      <c r="D57">
        <v>113</v>
      </c>
      <c r="E57">
        <f t="shared" si="9"/>
        <v>336.74</v>
      </c>
      <c r="F57">
        <f t="shared" si="11"/>
        <v>1.3429943820572601E-3</v>
      </c>
      <c r="G57">
        <v>151.62</v>
      </c>
    </row>
    <row r="58" spans="1:7" x14ac:dyDescent="0.25">
      <c r="B58">
        <v>40</v>
      </c>
      <c r="C58">
        <f t="shared" si="10"/>
        <v>159.60000000000002</v>
      </c>
      <c r="D58">
        <v>67</v>
      </c>
      <c r="E58">
        <f t="shared" si="9"/>
        <v>199.66</v>
      </c>
      <c r="F58">
        <f t="shared" si="11"/>
        <v>2.4323881482810543E-3</v>
      </c>
      <c r="G58">
        <v>159.60000000000002</v>
      </c>
    </row>
    <row r="59" spans="1:7" x14ac:dyDescent="0.25">
      <c r="B59">
        <v>50</v>
      </c>
      <c r="C59">
        <f t="shared" si="10"/>
        <v>199.5</v>
      </c>
      <c r="D59">
        <v>60</v>
      </c>
      <c r="E59">
        <f t="shared" si="9"/>
        <v>178.8</v>
      </c>
      <c r="F59">
        <f t="shared" si="11"/>
        <v>2.7573472364655128E-3</v>
      </c>
      <c r="G59">
        <v>199.5</v>
      </c>
    </row>
    <row r="63" spans="1:7" x14ac:dyDescent="0.25">
      <c r="A63" t="s">
        <v>31</v>
      </c>
    </row>
    <row r="64" spans="1:7" x14ac:dyDescent="0.25">
      <c r="B64" t="s">
        <v>0</v>
      </c>
      <c r="C64" t="s">
        <v>4</v>
      </c>
      <c r="D64" t="s">
        <v>1</v>
      </c>
      <c r="E64" t="s">
        <v>2</v>
      </c>
      <c r="F64" t="s">
        <v>3</v>
      </c>
    </row>
    <row r="65" spans="1:7" x14ac:dyDescent="0.25">
      <c r="B65">
        <v>24</v>
      </c>
      <c r="C65">
        <f>B65*3.99</f>
        <v>95.76</v>
      </c>
      <c r="E65">
        <f t="shared" ref="E65:E74" si="12">D65*2.98</f>
        <v>0</v>
      </c>
      <c r="F65" t="e">
        <f>E65^(-1/0.88)</f>
        <v>#DIV/0!</v>
      </c>
      <c r="G65">
        <v>95.76</v>
      </c>
    </row>
    <row r="66" spans="1:7" x14ac:dyDescent="0.25">
      <c r="B66">
        <v>26</v>
      </c>
      <c r="C66">
        <f t="shared" ref="C66:C74" si="13">B66*3.99</f>
        <v>103.74000000000001</v>
      </c>
      <c r="E66">
        <f t="shared" si="12"/>
        <v>0</v>
      </c>
      <c r="F66" t="e">
        <f>E66^(-1/0.88)</f>
        <v>#DIV/0!</v>
      </c>
      <c r="G66">
        <v>103.74000000000001</v>
      </c>
    </row>
    <row r="67" spans="1:7" x14ac:dyDescent="0.25">
      <c r="B67">
        <v>28</v>
      </c>
      <c r="C67">
        <f t="shared" si="13"/>
        <v>111.72</v>
      </c>
      <c r="E67">
        <f t="shared" si="12"/>
        <v>0</v>
      </c>
      <c r="F67" t="e">
        <f>E67^(-1/0.88)</f>
        <v>#DIV/0!</v>
      </c>
      <c r="G67">
        <v>111.72</v>
      </c>
    </row>
    <row r="68" spans="1:7" x14ac:dyDescent="0.25">
      <c r="B68">
        <v>30</v>
      </c>
      <c r="C68">
        <f t="shared" si="13"/>
        <v>119.7</v>
      </c>
      <c r="E68">
        <f t="shared" si="12"/>
        <v>0</v>
      </c>
      <c r="F68" t="e">
        <f t="shared" ref="F68:F74" si="14">E68^(-1/0.88)</f>
        <v>#DIV/0!</v>
      </c>
      <c r="G68">
        <v>119.7</v>
      </c>
    </row>
    <row r="69" spans="1:7" x14ac:dyDescent="0.25">
      <c r="B69">
        <v>32</v>
      </c>
      <c r="C69">
        <f t="shared" si="13"/>
        <v>127.68</v>
      </c>
      <c r="E69">
        <f t="shared" si="12"/>
        <v>0</v>
      </c>
      <c r="F69" t="e">
        <f t="shared" si="14"/>
        <v>#DIV/0!</v>
      </c>
      <c r="G69">
        <v>127.68</v>
      </c>
    </row>
    <row r="70" spans="1:7" x14ac:dyDescent="0.25">
      <c r="B70">
        <v>34</v>
      </c>
      <c r="C70">
        <f t="shared" si="13"/>
        <v>135.66</v>
      </c>
      <c r="D70">
        <v>150</v>
      </c>
      <c r="E70">
        <f t="shared" si="12"/>
        <v>447</v>
      </c>
      <c r="F70">
        <f t="shared" si="14"/>
        <v>9.7339005664098842E-4</v>
      </c>
      <c r="G70">
        <v>135.66</v>
      </c>
    </row>
    <row r="71" spans="1:7" x14ac:dyDescent="0.25">
      <c r="B71">
        <v>36</v>
      </c>
      <c r="C71">
        <f t="shared" si="13"/>
        <v>143.64000000000001</v>
      </c>
      <c r="D71">
        <v>137</v>
      </c>
      <c r="E71">
        <f t="shared" si="12"/>
        <v>408.26</v>
      </c>
      <c r="F71">
        <f t="shared" si="14"/>
        <v>1.0790121329768575E-3</v>
      </c>
      <c r="G71">
        <v>143.64000000000001</v>
      </c>
    </row>
    <row r="72" spans="1:7" x14ac:dyDescent="0.25">
      <c r="B72">
        <v>38</v>
      </c>
      <c r="C72">
        <f t="shared" si="13"/>
        <v>151.62</v>
      </c>
      <c r="D72">
        <v>75</v>
      </c>
      <c r="E72">
        <f t="shared" si="12"/>
        <v>223.5</v>
      </c>
      <c r="F72">
        <f t="shared" si="14"/>
        <v>2.1397668059655252E-3</v>
      </c>
      <c r="G72">
        <v>151.62</v>
      </c>
    </row>
    <row r="73" spans="1:7" x14ac:dyDescent="0.25">
      <c r="B73">
        <v>40</v>
      </c>
      <c r="C73">
        <f t="shared" si="13"/>
        <v>159.60000000000002</v>
      </c>
      <c r="D73">
        <v>69</v>
      </c>
      <c r="E73">
        <f t="shared" si="12"/>
        <v>205.62</v>
      </c>
      <c r="F73">
        <f t="shared" si="14"/>
        <v>2.3524296372682851E-3</v>
      </c>
      <c r="G73">
        <v>159.60000000000002</v>
      </c>
    </row>
    <row r="74" spans="1:7" x14ac:dyDescent="0.25">
      <c r="B74">
        <v>50</v>
      </c>
      <c r="C74">
        <f t="shared" si="13"/>
        <v>199.5</v>
      </c>
      <c r="D74">
        <v>50</v>
      </c>
      <c r="E74">
        <f t="shared" si="12"/>
        <v>149</v>
      </c>
      <c r="F74">
        <f t="shared" si="14"/>
        <v>3.3921117365587512E-3</v>
      </c>
      <c r="G74">
        <v>199.5</v>
      </c>
    </row>
    <row r="79" spans="1:7" x14ac:dyDescent="0.25">
      <c r="A79" t="s">
        <v>32</v>
      </c>
    </row>
    <row r="80" spans="1:7" x14ac:dyDescent="0.25">
      <c r="B80" t="s">
        <v>0</v>
      </c>
      <c r="C80" t="s">
        <v>4</v>
      </c>
      <c r="D80" t="s">
        <v>1</v>
      </c>
      <c r="E80" t="s">
        <v>2</v>
      </c>
      <c r="F80" t="s">
        <v>3</v>
      </c>
    </row>
    <row r="81" spans="2:7" x14ac:dyDescent="0.25">
      <c r="B81">
        <v>24</v>
      </c>
      <c r="C81">
        <f>B81*3.99</f>
        <v>95.76</v>
      </c>
      <c r="E81">
        <f t="shared" ref="E81:E90" si="15">D81*2.98</f>
        <v>0</v>
      </c>
      <c r="F81" t="e">
        <f>E81^(-1/0.88)</f>
        <v>#DIV/0!</v>
      </c>
      <c r="G81">
        <v>95.76</v>
      </c>
    </row>
    <row r="82" spans="2:7" x14ac:dyDescent="0.25">
      <c r="B82">
        <v>26</v>
      </c>
      <c r="C82">
        <f t="shared" ref="C82:C90" si="16">B82*3.99</f>
        <v>103.74000000000001</v>
      </c>
      <c r="E82">
        <f t="shared" si="15"/>
        <v>0</v>
      </c>
      <c r="F82" t="e">
        <f>E82^(-1/0.88)</f>
        <v>#DIV/0!</v>
      </c>
      <c r="G82">
        <v>103.74000000000001</v>
      </c>
    </row>
    <row r="83" spans="2:7" x14ac:dyDescent="0.25">
      <c r="B83">
        <v>28</v>
      </c>
      <c r="C83">
        <f t="shared" si="16"/>
        <v>111.72</v>
      </c>
      <c r="E83">
        <f t="shared" si="15"/>
        <v>0</v>
      </c>
      <c r="F83" t="e">
        <f>E83^(-1/0.88)</f>
        <v>#DIV/0!</v>
      </c>
      <c r="G83">
        <v>111.72</v>
      </c>
    </row>
    <row r="84" spans="2:7" x14ac:dyDescent="0.25">
      <c r="B84">
        <v>30</v>
      </c>
      <c r="C84">
        <f t="shared" si="16"/>
        <v>119.7</v>
      </c>
      <c r="E84">
        <f t="shared" si="15"/>
        <v>0</v>
      </c>
      <c r="F84" t="e">
        <f t="shared" ref="F84:F90" si="17">E84^(-1/0.88)</f>
        <v>#DIV/0!</v>
      </c>
      <c r="G84">
        <v>119.7</v>
      </c>
    </row>
    <row r="85" spans="2:7" x14ac:dyDescent="0.25">
      <c r="B85">
        <v>32</v>
      </c>
      <c r="C85">
        <f t="shared" si="16"/>
        <v>127.68</v>
      </c>
      <c r="E85">
        <f t="shared" si="15"/>
        <v>0</v>
      </c>
      <c r="F85" t="e">
        <f t="shared" si="17"/>
        <v>#DIV/0!</v>
      </c>
      <c r="G85">
        <v>127.68</v>
      </c>
    </row>
    <row r="86" spans="2:7" x14ac:dyDescent="0.25">
      <c r="B86">
        <v>34</v>
      </c>
      <c r="C86">
        <f t="shared" si="16"/>
        <v>135.66</v>
      </c>
      <c r="D86">
        <v>246</v>
      </c>
      <c r="E86">
        <f t="shared" si="15"/>
        <v>733.08</v>
      </c>
      <c r="F86">
        <f t="shared" si="17"/>
        <v>5.5481241298887033E-4</v>
      </c>
      <c r="G86">
        <v>135.66</v>
      </c>
    </row>
    <row r="87" spans="2:7" x14ac:dyDescent="0.25">
      <c r="B87">
        <v>36</v>
      </c>
      <c r="C87">
        <f t="shared" si="16"/>
        <v>143.64000000000001</v>
      </c>
      <c r="D87">
        <v>137</v>
      </c>
      <c r="E87">
        <f t="shared" si="15"/>
        <v>408.26</v>
      </c>
      <c r="F87">
        <f t="shared" si="17"/>
        <v>1.0790121329768575E-3</v>
      </c>
      <c r="G87">
        <v>143.64000000000001</v>
      </c>
    </row>
    <row r="88" spans="2:7" x14ac:dyDescent="0.25">
      <c r="B88">
        <v>38</v>
      </c>
      <c r="C88">
        <f t="shared" si="16"/>
        <v>151.62</v>
      </c>
      <c r="D88">
        <v>78</v>
      </c>
      <c r="E88">
        <f t="shared" si="15"/>
        <v>232.44</v>
      </c>
      <c r="F88">
        <f t="shared" si="17"/>
        <v>2.0464935427936043E-3</v>
      </c>
      <c r="G88">
        <v>151.62</v>
      </c>
    </row>
    <row r="89" spans="2:7" x14ac:dyDescent="0.25">
      <c r="B89">
        <v>40</v>
      </c>
      <c r="C89">
        <f t="shared" si="16"/>
        <v>159.60000000000002</v>
      </c>
      <c r="D89">
        <v>73</v>
      </c>
      <c r="E89">
        <f t="shared" si="15"/>
        <v>217.54</v>
      </c>
      <c r="F89">
        <f t="shared" si="17"/>
        <v>2.2065081742912848E-3</v>
      </c>
      <c r="G89">
        <v>159.60000000000002</v>
      </c>
    </row>
    <row r="90" spans="2:7" x14ac:dyDescent="0.25">
      <c r="B90">
        <v>50</v>
      </c>
      <c r="C90">
        <f t="shared" si="16"/>
        <v>199.5</v>
      </c>
      <c r="D90">
        <v>34</v>
      </c>
      <c r="E90">
        <f t="shared" si="15"/>
        <v>101.32</v>
      </c>
      <c r="F90">
        <f t="shared" si="17"/>
        <v>5.2577620881723644E-3</v>
      </c>
      <c r="G90">
        <v>199.5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3"/>
  <sheetViews>
    <sheetView topLeftCell="E1" workbookViewId="0">
      <selection activeCell="R2" sqref="R2:S10"/>
    </sheetView>
  </sheetViews>
  <sheetFormatPr defaultRowHeight="15" x14ac:dyDescent="0.25"/>
  <cols>
    <col min="3" max="3" width="19.140625" bestFit="1" customWidth="1"/>
    <col min="4" max="4" width="13.7109375" bestFit="1" customWidth="1"/>
    <col min="6" max="6" width="12" bestFit="1" customWidth="1"/>
    <col min="18" max="18" width="18" bestFit="1" customWidth="1"/>
    <col min="19" max="19" width="20.42578125" bestFit="1" customWidth="1"/>
  </cols>
  <sheetData>
    <row r="1" spans="1:19" x14ac:dyDescent="0.25">
      <c r="A1" t="s">
        <v>5</v>
      </c>
    </row>
    <row r="2" spans="1:19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R2" t="s">
        <v>14</v>
      </c>
      <c r="S2" t="s">
        <v>15</v>
      </c>
    </row>
    <row r="3" spans="1:19" x14ac:dyDescent="0.25">
      <c r="B3">
        <v>24</v>
      </c>
      <c r="C3">
        <f>B3*3.99</f>
        <v>95.76</v>
      </c>
      <c r="E3">
        <f t="shared" ref="E3:E13" si="0">D3*2.98</f>
        <v>0</v>
      </c>
      <c r="F3" t="e">
        <f>E3^(-1/0.88)</f>
        <v>#DIV/0!</v>
      </c>
      <c r="G3">
        <v>95.76</v>
      </c>
      <c r="R3" t="s">
        <v>16</v>
      </c>
      <c r="S3">
        <v>101.32</v>
      </c>
    </row>
    <row r="4" spans="1:19" x14ac:dyDescent="0.25">
      <c r="B4">
        <v>26</v>
      </c>
      <c r="C4">
        <f t="shared" ref="C4:C14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R4" t="s">
        <v>17</v>
      </c>
      <c r="S4">
        <v>131.41</v>
      </c>
    </row>
    <row r="5" spans="1:19" x14ac:dyDescent="0.25">
      <c r="B5">
        <v>28</v>
      </c>
      <c r="C5">
        <f t="shared" si="1"/>
        <v>111.72</v>
      </c>
      <c r="E5">
        <f t="shared" si="0"/>
        <v>0</v>
      </c>
      <c r="F5" t="e">
        <f>E5^(-1/0.88)</f>
        <v>#DIV/0!</v>
      </c>
      <c r="G5">
        <v>111.72</v>
      </c>
      <c r="R5" t="s">
        <v>18</v>
      </c>
      <c r="S5">
        <v>154.35</v>
      </c>
    </row>
    <row r="6" spans="1:19" x14ac:dyDescent="0.25">
      <c r="B6">
        <v>30</v>
      </c>
      <c r="C6">
        <f t="shared" si="1"/>
        <v>119.7</v>
      </c>
      <c r="E6">
        <f t="shared" si="0"/>
        <v>0</v>
      </c>
      <c r="F6" t="e">
        <f t="shared" ref="F6:F12" si="2">E6^(-1/0.88)</f>
        <v>#DIV/0!</v>
      </c>
      <c r="G6">
        <v>119.7</v>
      </c>
      <c r="R6" t="s">
        <v>19</v>
      </c>
      <c r="S6">
        <v>163.74</v>
      </c>
    </row>
    <row r="7" spans="1:19" x14ac:dyDescent="0.25">
      <c r="B7">
        <v>32</v>
      </c>
      <c r="C7">
        <f t="shared" si="1"/>
        <v>127.68</v>
      </c>
      <c r="E7">
        <f t="shared" si="0"/>
        <v>0</v>
      </c>
      <c r="F7" t="e">
        <f t="shared" si="2"/>
        <v>#DIV/0!</v>
      </c>
      <c r="G7">
        <v>127.68</v>
      </c>
      <c r="R7" t="s">
        <v>20</v>
      </c>
      <c r="S7">
        <v>84.62</v>
      </c>
    </row>
    <row r="8" spans="1:19" x14ac:dyDescent="0.25">
      <c r="B8">
        <v>34</v>
      </c>
      <c r="C8">
        <f t="shared" si="1"/>
        <v>135.66</v>
      </c>
      <c r="E8">
        <f t="shared" si="0"/>
        <v>0</v>
      </c>
      <c r="F8" t="e">
        <f t="shared" si="2"/>
        <v>#DIV/0!</v>
      </c>
      <c r="G8">
        <v>135.66</v>
      </c>
      <c r="R8" t="s">
        <v>21</v>
      </c>
      <c r="S8">
        <v>129.85</v>
      </c>
    </row>
    <row r="9" spans="1:19" x14ac:dyDescent="0.25">
      <c r="B9">
        <v>36</v>
      </c>
      <c r="C9">
        <f t="shared" si="1"/>
        <v>143.64000000000001</v>
      </c>
      <c r="D9">
        <v>57</v>
      </c>
      <c r="E9">
        <f t="shared" si="0"/>
        <v>169.85999999999999</v>
      </c>
      <c r="F9">
        <f t="shared" si="2"/>
        <v>2.9228433890545022E-3</v>
      </c>
      <c r="G9">
        <v>143.64000000000001</v>
      </c>
      <c r="R9" t="s">
        <v>22</v>
      </c>
      <c r="S9">
        <f>AVERAGE(S3:S8)</f>
        <v>127.54833333333333</v>
      </c>
    </row>
    <row r="10" spans="1:19" x14ac:dyDescent="0.25">
      <c r="B10">
        <v>38</v>
      </c>
      <c r="C10">
        <f t="shared" si="1"/>
        <v>151.62</v>
      </c>
      <c r="D10">
        <v>56</v>
      </c>
      <c r="E10">
        <f t="shared" si="0"/>
        <v>166.88</v>
      </c>
      <c r="F10">
        <f t="shared" si="2"/>
        <v>2.982226179283419E-3</v>
      </c>
      <c r="G10">
        <v>151.62</v>
      </c>
      <c r="R10" t="s">
        <v>23</v>
      </c>
      <c r="S10">
        <f>STDEV(S3:S8)</f>
        <v>30.262661757794415</v>
      </c>
    </row>
    <row r="11" spans="1:19" x14ac:dyDescent="0.25">
      <c r="B11">
        <v>40</v>
      </c>
      <c r="C11">
        <f t="shared" si="1"/>
        <v>159.60000000000002</v>
      </c>
      <c r="D11">
        <v>56</v>
      </c>
      <c r="E11">
        <f t="shared" si="0"/>
        <v>166.88</v>
      </c>
      <c r="F11">
        <f t="shared" si="2"/>
        <v>2.982226179283419E-3</v>
      </c>
      <c r="G11">
        <v>159.60000000000002</v>
      </c>
    </row>
    <row r="12" spans="1:19" x14ac:dyDescent="0.25">
      <c r="B12">
        <v>50</v>
      </c>
      <c r="C12">
        <f t="shared" si="1"/>
        <v>199.5</v>
      </c>
      <c r="D12">
        <v>28</v>
      </c>
      <c r="E12">
        <f t="shared" si="0"/>
        <v>83.44</v>
      </c>
      <c r="F12">
        <f t="shared" si="2"/>
        <v>6.5557158127675817E-3</v>
      </c>
      <c r="G12">
        <v>199.5</v>
      </c>
    </row>
    <row r="13" spans="1:19" x14ac:dyDescent="0.25">
      <c r="B13">
        <v>60</v>
      </c>
      <c r="C13">
        <f t="shared" si="1"/>
        <v>239.4</v>
      </c>
      <c r="D13">
        <v>24</v>
      </c>
      <c r="E13">
        <f t="shared" si="0"/>
        <v>71.52</v>
      </c>
      <c r="F13">
        <f>E13^(-1/0.88)</f>
        <v>7.8108089666342031E-3</v>
      </c>
      <c r="G13">
        <v>239.4</v>
      </c>
    </row>
    <row r="14" spans="1:19" x14ac:dyDescent="0.25">
      <c r="B14">
        <v>80</v>
      </c>
      <c r="C14">
        <f t="shared" si="1"/>
        <v>319.20000000000005</v>
      </c>
      <c r="F14" t="e">
        <f>E14^(-1/0.88)</f>
        <v>#DIV/0!</v>
      </c>
    </row>
    <row r="17" spans="1:7" x14ac:dyDescent="0.25">
      <c r="A17" t="s">
        <v>11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E19">
        <f t="shared" ref="E19:E29" si="3">D19*2.98</f>
        <v>0</v>
      </c>
      <c r="F19" t="e">
        <f>E19^(-1/0.88)</f>
        <v>#DIV/0!</v>
      </c>
      <c r="G19">
        <v>95.76</v>
      </c>
    </row>
    <row r="20" spans="1:7" x14ac:dyDescent="0.25">
      <c r="B20">
        <v>26</v>
      </c>
      <c r="C20">
        <f t="shared" ref="C20:C30" si="4">B20*3.99</f>
        <v>103.74000000000001</v>
      </c>
      <c r="E20">
        <f t="shared" si="3"/>
        <v>0</v>
      </c>
      <c r="F20" t="e">
        <f>E20^(-1/0.88)</f>
        <v>#DIV/0!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E21">
        <f t="shared" si="3"/>
        <v>0</v>
      </c>
      <c r="F21" t="e">
        <f>E21^(-1/0.88)</f>
        <v>#DIV/0!</v>
      </c>
      <c r="G21">
        <v>111.72</v>
      </c>
    </row>
    <row r="22" spans="1:7" x14ac:dyDescent="0.25">
      <c r="B22">
        <v>30</v>
      </c>
      <c r="C22">
        <f t="shared" si="4"/>
        <v>119.7</v>
      </c>
      <c r="E22">
        <f t="shared" si="3"/>
        <v>0</v>
      </c>
      <c r="F22" t="e">
        <f t="shared" ref="F22:F28" si="5">E22^(-1/0.88)</f>
        <v>#DIV/0!</v>
      </c>
      <c r="G22">
        <v>119.7</v>
      </c>
    </row>
    <row r="23" spans="1:7" x14ac:dyDescent="0.25">
      <c r="B23">
        <v>32</v>
      </c>
      <c r="C23">
        <f t="shared" si="4"/>
        <v>127.68</v>
      </c>
      <c r="E23">
        <f t="shared" si="3"/>
        <v>0</v>
      </c>
      <c r="F23" t="e">
        <f t="shared" si="5"/>
        <v>#DIV/0!</v>
      </c>
      <c r="G23">
        <v>127.68</v>
      </c>
    </row>
    <row r="24" spans="1:7" x14ac:dyDescent="0.25">
      <c r="B24">
        <v>34</v>
      </c>
      <c r="C24">
        <f t="shared" si="4"/>
        <v>135.66</v>
      </c>
      <c r="E24">
        <f t="shared" si="3"/>
        <v>0</v>
      </c>
      <c r="F24" t="e">
        <f t="shared" si="5"/>
        <v>#DIV/0!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317</v>
      </c>
      <c r="E25">
        <f t="shared" si="3"/>
        <v>944.66</v>
      </c>
      <c r="F25">
        <f t="shared" si="5"/>
        <v>4.1591547908172469E-4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201</v>
      </c>
      <c r="E26">
        <f t="shared" si="3"/>
        <v>598.98</v>
      </c>
      <c r="F26">
        <f t="shared" si="5"/>
        <v>6.9799069762664298E-4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172</v>
      </c>
      <c r="E27">
        <f t="shared" si="3"/>
        <v>512.55999999999995</v>
      </c>
      <c r="F27">
        <f t="shared" si="5"/>
        <v>8.3319114674541535E-4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D28">
        <v>59</v>
      </c>
      <c r="E28">
        <f t="shared" si="3"/>
        <v>175.82</v>
      </c>
      <c r="F28">
        <f t="shared" si="5"/>
        <v>2.8105159241990389E-3</v>
      </c>
      <c r="G28">
        <v>199.5</v>
      </c>
    </row>
    <row r="29" spans="1:7" x14ac:dyDescent="0.25">
      <c r="B29">
        <v>60</v>
      </c>
      <c r="C29">
        <f t="shared" si="4"/>
        <v>239.4</v>
      </c>
      <c r="D29">
        <v>53</v>
      </c>
      <c r="E29">
        <f t="shared" si="3"/>
        <v>157.94</v>
      </c>
      <c r="F29">
        <f>E29^(-1/0.88)</f>
        <v>3.1747788941022567E-3</v>
      </c>
      <c r="G29">
        <v>239.4</v>
      </c>
    </row>
    <row r="30" spans="1:7" x14ac:dyDescent="0.25">
      <c r="B30">
        <v>80</v>
      </c>
      <c r="C30">
        <f t="shared" si="4"/>
        <v>319.20000000000005</v>
      </c>
      <c r="F30" t="e">
        <f>E30^(-1/0.88)</f>
        <v>#DIV/0!</v>
      </c>
    </row>
    <row r="33" spans="1:7" x14ac:dyDescent="0.25">
      <c r="A33" t="s">
        <v>12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E35">
        <f t="shared" ref="E35:E45" si="6">D35*2.98</f>
        <v>0</v>
      </c>
      <c r="F35" t="e">
        <f>E35^(-1/0.88)</f>
        <v>#DIV/0!</v>
      </c>
      <c r="G35">
        <v>95.76</v>
      </c>
    </row>
    <row r="36" spans="1:7" x14ac:dyDescent="0.25">
      <c r="B36">
        <v>26</v>
      </c>
      <c r="C36">
        <f t="shared" ref="C36:C46" si="7">B36*3.99</f>
        <v>103.74000000000001</v>
      </c>
      <c r="E36">
        <f t="shared" si="6"/>
        <v>0</v>
      </c>
      <c r="F36" t="e">
        <f>E36^(-1/0.88)</f>
        <v>#DIV/0!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E37">
        <f t="shared" si="6"/>
        <v>0</v>
      </c>
      <c r="F37" t="e">
        <f>E37^(-1/0.88)</f>
        <v>#DIV/0!</v>
      </c>
      <c r="G37">
        <v>111.72</v>
      </c>
    </row>
    <row r="38" spans="1:7" x14ac:dyDescent="0.25">
      <c r="B38">
        <v>30</v>
      </c>
      <c r="C38">
        <f t="shared" si="7"/>
        <v>119.7</v>
      </c>
      <c r="E38">
        <f t="shared" si="6"/>
        <v>0</v>
      </c>
      <c r="F38" t="e">
        <f t="shared" ref="F38:F44" si="8">E38^(-1/0.88)</f>
        <v>#DIV/0!</v>
      </c>
      <c r="G38">
        <v>119.7</v>
      </c>
    </row>
    <row r="39" spans="1:7" x14ac:dyDescent="0.25">
      <c r="B39">
        <v>32</v>
      </c>
      <c r="C39">
        <f t="shared" si="7"/>
        <v>127.68</v>
      </c>
      <c r="E39">
        <f t="shared" si="6"/>
        <v>0</v>
      </c>
      <c r="F39" t="e">
        <f t="shared" si="8"/>
        <v>#DIV/0!</v>
      </c>
      <c r="G39">
        <v>127.68</v>
      </c>
    </row>
    <row r="40" spans="1:7" x14ac:dyDescent="0.25">
      <c r="B40">
        <v>34</v>
      </c>
      <c r="C40">
        <f t="shared" si="7"/>
        <v>135.66</v>
      </c>
      <c r="E40">
        <f t="shared" si="6"/>
        <v>0</v>
      </c>
      <c r="F40" t="e">
        <f t="shared" si="8"/>
        <v>#DIV/0!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E41">
        <f t="shared" si="6"/>
        <v>0</v>
      </c>
      <c r="F41" t="e">
        <f t="shared" si="8"/>
        <v>#DIV/0!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E42">
        <f t="shared" si="6"/>
        <v>0</v>
      </c>
      <c r="F42" t="e">
        <f t="shared" si="8"/>
        <v>#DIV/0!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D43">
        <v>135</v>
      </c>
      <c r="E43">
        <f t="shared" si="6"/>
        <v>402.3</v>
      </c>
      <c r="F43">
        <f t="shared" si="8"/>
        <v>1.0971955913557515E-3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D44">
        <v>31</v>
      </c>
      <c r="E44">
        <f t="shared" si="6"/>
        <v>92.38</v>
      </c>
      <c r="F44">
        <f t="shared" si="8"/>
        <v>5.8396750879134646E-3</v>
      </c>
      <c r="G44">
        <v>199.5</v>
      </c>
    </row>
    <row r="45" spans="1:7" x14ac:dyDescent="0.25">
      <c r="B45">
        <v>60</v>
      </c>
      <c r="C45">
        <f t="shared" si="7"/>
        <v>239.4</v>
      </c>
      <c r="D45">
        <v>16</v>
      </c>
      <c r="E45">
        <f t="shared" si="6"/>
        <v>47.68</v>
      </c>
      <c r="F45">
        <f>E45^(-1/0.88)</f>
        <v>1.2382254315690646E-2</v>
      </c>
      <c r="G45">
        <v>239.4</v>
      </c>
    </row>
    <row r="46" spans="1:7" x14ac:dyDescent="0.25">
      <c r="B46">
        <v>80</v>
      </c>
      <c r="C46">
        <f t="shared" si="7"/>
        <v>319.20000000000005</v>
      </c>
      <c r="F46" t="e">
        <f>E46^(-1/0.88)</f>
        <v>#DIV/0!</v>
      </c>
    </row>
    <row r="49" spans="1:7" x14ac:dyDescent="0.25">
      <c r="A49" t="s">
        <v>8</v>
      </c>
    </row>
    <row r="50" spans="1:7" x14ac:dyDescent="0.25">
      <c r="B50" t="s">
        <v>0</v>
      </c>
      <c r="C50" t="s">
        <v>4</v>
      </c>
      <c r="D50" t="s">
        <v>1</v>
      </c>
      <c r="E50" t="s">
        <v>2</v>
      </c>
      <c r="F50" t="s">
        <v>3</v>
      </c>
    </row>
    <row r="51" spans="1:7" x14ac:dyDescent="0.25">
      <c r="B51">
        <v>24</v>
      </c>
      <c r="C51">
        <f>B51*3.99</f>
        <v>95.76</v>
      </c>
      <c r="E51">
        <f t="shared" ref="E51:E61" si="9">D51*2.98</f>
        <v>0</v>
      </c>
      <c r="F51" t="e">
        <f>E51^(-1/0.88)</f>
        <v>#DIV/0!</v>
      </c>
      <c r="G51">
        <v>95.76</v>
      </c>
    </row>
    <row r="52" spans="1:7" x14ac:dyDescent="0.25">
      <c r="B52">
        <v>26</v>
      </c>
      <c r="C52">
        <f t="shared" ref="C52:C62" si="10">B52*3.99</f>
        <v>103.74000000000001</v>
      </c>
      <c r="E52">
        <f t="shared" si="9"/>
        <v>0</v>
      </c>
      <c r="F52" t="e">
        <f>E52^(-1/0.88)</f>
        <v>#DIV/0!</v>
      </c>
      <c r="G52">
        <v>103.74000000000001</v>
      </c>
    </row>
    <row r="53" spans="1:7" x14ac:dyDescent="0.25">
      <c r="B53">
        <v>28</v>
      </c>
      <c r="C53">
        <f t="shared" si="10"/>
        <v>111.72</v>
      </c>
      <c r="E53">
        <f t="shared" si="9"/>
        <v>0</v>
      </c>
      <c r="F53" t="e">
        <f>E53^(-1/0.88)</f>
        <v>#DIV/0!</v>
      </c>
      <c r="G53">
        <v>111.72</v>
      </c>
    </row>
    <row r="54" spans="1:7" x14ac:dyDescent="0.25">
      <c r="B54">
        <v>30</v>
      </c>
      <c r="C54">
        <f t="shared" si="10"/>
        <v>119.7</v>
      </c>
      <c r="E54">
        <f t="shared" si="9"/>
        <v>0</v>
      </c>
      <c r="F54" t="e">
        <f t="shared" ref="F54:F60" si="11">E54^(-1/0.88)</f>
        <v>#DIV/0!</v>
      </c>
      <c r="G54">
        <v>119.7</v>
      </c>
    </row>
    <row r="55" spans="1:7" x14ac:dyDescent="0.25">
      <c r="B55">
        <v>32</v>
      </c>
      <c r="C55">
        <f t="shared" si="10"/>
        <v>127.68</v>
      </c>
      <c r="E55">
        <f t="shared" si="9"/>
        <v>0</v>
      </c>
      <c r="F55" t="e">
        <f t="shared" si="11"/>
        <v>#DIV/0!</v>
      </c>
      <c r="G55">
        <v>127.68</v>
      </c>
    </row>
    <row r="56" spans="1:7" x14ac:dyDescent="0.25">
      <c r="B56">
        <v>34</v>
      </c>
      <c r="C56">
        <f t="shared" si="10"/>
        <v>135.66</v>
      </c>
      <c r="E56">
        <f t="shared" si="9"/>
        <v>0</v>
      </c>
      <c r="F56" t="e">
        <f t="shared" si="11"/>
        <v>#DIV/0!</v>
      </c>
      <c r="G56">
        <v>135.66</v>
      </c>
    </row>
    <row r="57" spans="1:7" x14ac:dyDescent="0.25">
      <c r="B57">
        <v>36</v>
      </c>
      <c r="C57">
        <f t="shared" si="10"/>
        <v>143.64000000000001</v>
      </c>
      <c r="E57">
        <f t="shared" si="9"/>
        <v>0</v>
      </c>
      <c r="F57" t="e">
        <f t="shared" si="11"/>
        <v>#DIV/0!</v>
      </c>
      <c r="G57">
        <v>143.64000000000001</v>
      </c>
    </row>
    <row r="58" spans="1:7" x14ac:dyDescent="0.25">
      <c r="B58">
        <v>38</v>
      </c>
      <c r="C58">
        <f t="shared" si="10"/>
        <v>151.62</v>
      </c>
      <c r="E58">
        <f t="shared" si="9"/>
        <v>0</v>
      </c>
      <c r="F58" t="e">
        <f t="shared" si="11"/>
        <v>#DIV/0!</v>
      </c>
      <c r="G58">
        <v>151.62</v>
      </c>
    </row>
    <row r="59" spans="1:7" x14ac:dyDescent="0.25">
      <c r="B59">
        <v>40</v>
      </c>
      <c r="C59">
        <f t="shared" si="10"/>
        <v>159.60000000000002</v>
      </c>
      <c r="D59">
        <v>131</v>
      </c>
      <c r="E59">
        <f t="shared" si="9"/>
        <v>390.38</v>
      </c>
      <c r="F59">
        <f t="shared" si="11"/>
        <v>1.135344794377486E-3</v>
      </c>
      <c r="G59">
        <v>159.60000000000002</v>
      </c>
    </row>
    <row r="60" spans="1:7" x14ac:dyDescent="0.25">
      <c r="B60">
        <v>50</v>
      </c>
      <c r="C60">
        <f t="shared" si="10"/>
        <v>199.5</v>
      </c>
      <c r="D60">
        <v>58</v>
      </c>
      <c r="E60">
        <f t="shared" si="9"/>
        <v>172.84</v>
      </c>
      <c r="F60">
        <f t="shared" si="11"/>
        <v>2.8656453041757948E-3</v>
      </c>
      <c r="G60">
        <v>199.5</v>
      </c>
    </row>
    <row r="61" spans="1:7" x14ac:dyDescent="0.25">
      <c r="B61">
        <v>60</v>
      </c>
      <c r="C61">
        <f t="shared" si="10"/>
        <v>239.4</v>
      </c>
      <c r="D61">
        <v>18</v>
      </c>
      <c r="E61">
        <f t="shared" si="9"/>
        <v>53.64</v>
      </c>
      <c r="F61">
        <f>E61^(-1/0.88)</f>
        <v>1.0831082234429018E-2</v>
      </c>
      <c r="G61">
        <v>239.4</v>
      </c>
    </row>
    <row r="62" spans="1:7" x14ac:dyDescent="0.25">
      <c r="B62">
        <v>80</v>
      </c>
      <c r="C62">
        <f t="shared" si="10"/>
        <v>319.20000000000005</v>
      </c>
      <c r="F62" t="e">
        <f>E62^(-1/0.88)</f>
        <v>#DIV/0!</v>
      </c>
    </row>
    <row r="65" spans="1:7" x14ac:dyDescent="0.25">
      <c r="A65" t="s">
        <v>9</v>
      </c>
    </row>
    <row r="66" spans="1:7" x14ac:dyDescent="0.25">
      <c r="B66" t="s">
        <v>0</v>
      </c>
      <c r="C66" t="s">
        <v>4</v>
      </c>
      <c r="D66" t="s">
        <v>1</v>
      </c>
      <c r="E66" t="s">
        <v>2</v>
      </c>
      <c r="F66" t="s">
        <v>3</v>
      </c>
    </row>
    <row r="67" spans="1:7" x14ac:dyDescent="0.25">
      <c r="B67">
        <v>24</v>
      </c>
      <c r="C67">
        <f>B67*3.99</f>
        <v>95.76</v>
      </c>
      <c r="E67">
        <f t="shared" ref="E67:E77" si="12">D67*2.98</f>
        <v>0</v>
      </c>
      <c r="F67" t="e">
        <f>E67^(-1/0.88)</f>
        <v>#DIV/0!</v>
      </c>
      <c r="G67">
        <v>95.76</v>
      </c>
    </row>
    <row r="68" spans="1:7" x14ac:dyDescent="0.25">
      <c r="B68">
        <v>26</v>
      </c>
      <c r="C68">
        <f t="shared" ref="C68:C78" si="13">B68*3.99</f>
        <v>103.74000000000001</v>
      </c>
      <c r="E68">
        <f t="shared" si="12"/>
        <v>0</v>
      </c>
      <c r="F68" t="e">
        <f>E68^(-1/0.88)</f>
        <v>#DIV/0!</v>
      </c>
      <c r="G68">
        <v>103.74000000000001</v>
      </c>
    </row>
    <row r="69" spans="1:7" x14ac:dyDescent="0.25">
      <c r="B69">
        <v>28</v>
      </c>
      <c r="C69">
        <f t="shared" si="13"/>
        <v>111.72</v>
      </c>
      <c r="E69">
        <f t="shared" si="12"/>
        <v>0</v>
      </c>
      <c r="F69" t="e">
        <f>E69^(-1/0.88)</f>
        <v>#DIV/0!</v>
      </c>
      <c r="G69">
        <v>111.72</v>
      </c>
    </row>
    <row r="70" spans="1:7" x14ac:dyDescent="0.25">
      <c r="B70">
        <v>30</v>
      </c>
      <c r="C70">
        <f t="shared" si="13"/>
        <v>119.7</v>
      </c>
      <c r="E70">
        <f t="shared" si="12"/>
        <v>0</v>
      </c>
      <c r="F70" t="e">
        <f t="shared" ref="F70:F76" si="14">E70^(-1/0.88)</f>
        <v>#DIV/0!</v>
      </c>
      <c r="G70">
        <v>119.7</v>
      </c>
    </row>
    <row r="71" spans="1:7" x14ac:dyDescent="0.25">
      <c r="B71">
        <v>32</v>
      </c>
      <c r="C71">
        <f t="shared" si="13"/>
        <v>127.68</v>
      </c>
      <c r="E71">
        <f t="shared" si="12"/>
        <v>0</v>
      </c>
      <c r="F71" t="e">
        <f t="shared" si="14"/>
        <v>#DIV/0!</v>
      </c>
      <c r="G71">
        <v>127.68</v>
      </c>
    </row>
    <row r="72" spans="1:7" x14ac:dyDescent="0.25">
      <c r="B72">
        <v>34</v>
      </c>
      <c r="C72">
        <f t="shared" si="13"/>
        <v>135.66</v>
      </c>
      <c r="E72">
        <f t="shared" si="12"/>
        <v>0</v>
      </c>
      <c r="F72" t="e">
        <f t="shared" si="14"/>
        <v>#DIV/0!</v>
      </c>
      <c r="G72">
        <v>135.66</v>
      </c>
    </row>
    <row r="73" spans="1:7" x14ac:dyDescent="0.25">
      <c r="B73">
        <v>36</v>
      </c>
      <c r="C73">
        <f t="shared" si="13"/>
        <v>143.64000000000001</v>
      </c>
      <c r="D73">
        <v>64</v>
      </c>
      <c r="E73">
        <f t="shared" si="12"/>
        <v>190.72</v>
      </c>
      <c r="F73">
        <f t="shared" si="14"/>
        <v>2.5623629055451943E-3</v>
      </c>
      <c r="G73">
        <v>143.64000000000001</v>
      </c>
    </row>
    <row r="74" spans="1:7" x14ac:dyDescent="0.25">
      <c r="B74">
        <v>38</v>
      </c>
      <c r="C74">
        <f t="shared" si="13"/>
        <v>151.62</v>
      </c>
      <c r="D74">
        <v>43</v>
      </c>
      <c r="E74">
        <f t="shared" si="12"/>
        <v>128.13999999999999</v>
      </c>
      <c r="F74">
        <f t="shared" si="14"/>
        <v>4.026277718217495E-3</v>
      </c>
      <c r="G74">
        <v>151.62</v>
      </c>
    </row>
    <row r="75" spans="1:7" x14ac:dyDescent="0.25">
      <c r="B75">
        <v>40</v>
      </c>
      <c r="C75">
        <f t="shared" si="13"/>
        <v>159.60000000000002</v>
      </c>
      <c r="D75">
        <v>42</v>
      </c>
      <c r="E75">
        <f t="shared" si="12"/>
        <v>125.16</v>
      </c>
      <c r="F75">
        <f t="shared" si="14"/>
        <v>4.1353894490911668E-3</v>
      </c>
      <c r="G75">
        <v>159.60000000000002</v>
      </c>
    </row>
    <row r="76" spans="1:7" x14ac:dyDescent="0.25">
      <c r="B76">
        <v>50</v>
      </c>
      <c r="C76">
        <f t="shared" si="13"/>
        <v>199.5</v>
      </c>
      <c r="D76">
        <v>27</v>
      </c>
      <c r="E76">
        <f t="shared" si="12"/>
        <v>80.459999999999994</v>
      </c>
      <c r="F76">
        <f t="shared" si="14"/>
        <v>6.8323192270269553E-3</v>
      </c>
      <c r="G76">
        <v>199.5</v>
      </c>
    </row>
    <row r="77" spans="1:7" x14ac:dyDescent="0.25">
      <c r="B77">
        <v>60</v>
      </c>
      <c r="C77">
        <f t="shared" si="13"/>
        <v>239.4</v>
      </c>
      <c r="D77">
        <v>26</v>
      </c>
      <c r="E77">
        <f t="shared" si="12"/>
        <v>77.48</v>
      </c>
      <c r="F77">
        <f>E77^(-1/0.88)</f>
        <v>7.1317091416131561E-3</v>
      </c>
      <c r="G77">
        <v>239.4</v>
      </c>
    </row>
    <row r="78" spans="1:7" x14ac:dyDescent="0.25">
      <c r="B78">
        <v>80</v>
      </c>
      <c r="C78">
        <f t="shared" si="13"/>
        <v>319.20000000000005</v>
      </c>
      <c r="F78" t="e">
        <f>E78^(-1/0.88)</f>
        <v>#DIV/0!</v>
      </c>
    </row>
    <row r="80" spans="1:7" x14ac:dyDescent="0.25">
      <c r="A80" t="s">
        <v>10</v>
      </c>
    </row>
    <row r="81" spans="2:7" x14ac:dyDescent="0.25">
      <c r="B81" t="s">
        <v>0</v>
      </c>
      <c r="C81" t="s">
        <v>4</v>
      </c>
      <c r="D81" t="s">
        <v>1</v>
      </c>
      <c r="E81" t="s">
        <v>2</v>
      </c>
      <c r="F81" t="s">
        <v>3</v>
      </c>
    </row>
    <row r="82" spans="2:7" x14ac:dyDescent="0.25">
      <c r="B82">
        <v>24</v>
      </c>
      <c r="C82">
        <f>B82*3.99</f>
        <v>95.76</v>
      </c>
      <c r="E82">
        <f t="shared" ref="E82:E92" si="15">D82*2.98</f>
        <v>0</v>
      </c>
      <c r="F82" t="e">
        <f>E82^(-1/0.88)</f>
        <v>#DIV/0!</v>
      </c>
      <c r="G82">
        <v>95.76</v>
      </c>
    </row>
    <row r="83" spans="2:7" x14ac:dyDescent="0.25">
      <c r="B83">
        <v>26</v>
      </c>
      <c r="C83">
        <f t="shared" ref="C83:C93" si="16">B83*3.99</f>
        <v>103.74000000000001</v>
      </c>
      <c r="E83">
        <f t="shared" si="15"/>
        <v>0</v>
      </c>
      <c r="F83" t="e">
        <f>E83^(-1/0.88)</f>
        <v>#DIV/0!</v>
      </c>
      <c r="G83">
        <v>103.74000000000001</v>
      </c>
    </row>
    <row r="84" spans="2:7" x14ac:dyDescent="0.25">
      <c r="B84">
        <v>28</v>
      </c>
      <c r="C84">
        <f t="shared" si="16"/>
        <v>111.72</v>
      </c>
      <c r="E84">
        <f t="shared" si="15"/>
        <v>0</v>
      </c>
      <c r="F84" t="e">
        <f>E84^(-1/0.88)</f>
        <v>#DIV/0!</v>
      </c>
      <c r="G84">
        <v>111.72</v>
      </c>
    </row>
    <row r="85" spans="2:7" x14ac:dyDescent="0.25">
      <c r="B85">
        <v>30</v>
      </c>
      <c r="C85">
        <f t="shared" si="16"/>
        <v>119.7</v>
      </c>
      <c r="E85">
        <f t="shared" si="15"/>
        <v>0</v>
      </c>
      <c r="F85" t="e">
        <f t="shared" ref="F85:F91" si="17">E85^(-1/0.88)</f>
        <v>#DIV/0!</v>
      </c>
      <c r="G85">
        <v>119.7</v>
      </c>
    </row>
    <row r="86" spans="2:7" x14ac:dyDescent="0.25">
      <c r="B86">
        <v>32</v>
      </c>
      <c r="C86">
        <f t="shared" si="16"/>
        <v>127.68</v>
      </c>
      <c r="E86">
        <f t="shared" si="15"/>
        <v>0</v>
      </c>
      <c r="F86" t="e">
        <f t="shared" si="17"/>
        <v>#DIV/0!</v>
      </c>
      <c r="G86">
        <v>127.68</v>
      </c>
    </row>
    <row r="87" spans="2:7" x14ac:dyDescent="0.25">
      <c r="B87">
        <v>34</v>
      </c>
      <c r="C87">
        <f t="shared" si="16"/>
        <v>135.66</v>
      </c>
      <c r="E87">
        <f t="shared" si="15"/>
        <v>0</v>
      </c>
      <c r="F87" t="e">
        <f t="shared" si="17"/>
        <v>#DIV/0!</v>
      </c>
      <c r="G87">
        <v>135.66</v>
      </c>
    </row>
    <row r="88" spans="2:7" x14ac:dyDescent="0.25">
      <c r="B88">
        <v>36</v>
      </c>
      <c r="C88">
        <f t="shared" si="16"/>
        <v>143.64000000000001</v>
      </c>
      <c r="D88">
        <v>317</v>
      </c>
      <c r="E88">
        <f t="shared" si="15"/>
        <v>944.66</v>
      </c>
      <c r="F88">
        <f t="shared" si="17"/>
        <v>4.1591547908172469E-4</v>
      </c>
      <c r="G88">
        <v>143.64000000000001</v>
      </c>
    </row>
    <row r="89" spans="2:7" x14ac:dyDescent="0.25">
      <c r="B89">
        <v>38</v>
      </c>
      <c r="C89">
        <f t="shared" si="16"/>
        <v>151.62</v>
      </c>
      <c r="D89">
        <v>172</v>
      </c>
      <c r="E89">
        <f t="shared" si="15"/>
        <v>512.55999999999995</v>
      </c>
      <c r="F89">
        <f t="shared" si="17"/>
        <v>8.3319114674541535E-4</v>
      </c>
      <c r="G89">
        <v>151.62</v>
      </c>
    </row>
    <row r="90" spans="2:7" x14ac:dyDescent="0.25">
      <c r="B90">
        <v>40</v>
      </c>
      <c r="C90">
        <f t="shared" si="16"/>
        <v>159.60000000000002</v>
      </c>
      <c r="D90">
        <v>172</v>
      </c>
      <c r="E90">
        <f t="shared" si="15"/>
        <v>512.55999999999995</v>
      </c>
      <c r="F90">
        <f t="shared" si="17"/>
        <v>8.3319114674541535E-4</v>
      </c>
      <c r="G90">
        <v>159.60000000000002</v>
      </c>
    </row>
    <row r="91" spans="2:7" x14ac:dyDescent="0.25">
      <c r="B91">
        <v>50</v>
      </c>
      <c r="C91">
        <f t="shared" si="16"/>
        <v>199.5</v>
      </c>
      <c r="D91">
        <v>59</v>
      </c>
      <c r="E91">
        <f t="shared" si="15"/>
        <v>175.82</v>
      </c>
      <c r="F91">
        <f t="shared" si="17"/>
        <v>2.8105159241990389E-3</v>
      </c>
      <c r="G91">
        <v>199.5</v>
      </c>
    </row>
    <row r="92" spans="2:7" x14ac:dyDescent="0.25">
      <c r="B92">
        <v>60</v>
      </c>
      <c r="C92">
        <f t="shared" si="16"/>
        <v>239.4</v>
      </c>
      <c r="D92">
        <v>53</v>
      </c>
      <c r="E92">
        <f t="shared" si="15"/>
        <v>157.94</v>
      </c>
      <c r="F92">
        <f>E92^(-1/0.88)</f>
        <v>3.1747788941022567E-3</v>
      </c>
      <c r="G92">
        <v>239.4</v>
      </c>
    </row>
    <row r="93" spans="2:7" x14ac:dyDescent="0.25">
      <c r="B93">
        <v>80</v>
      </c>
      <c r="C93">
        <f t="shared" si="16"/>
        <v>319.20000000000005</v>
      </c>
      <c r="F93" t="e">
        <f>E93^(-1/0.88)</f>
        <v>#DIV/0!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topLeftCell="D2" workbookViewId="0">
      <selection activeCell="Q3" sqref="Q3:Q10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5.28515625" bestFit="1" customWidth="1"/>
    <col min="17" max="17" width="16.5703125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E3">
        <f t="shared" ref="E3:E12" si="0">D3*2.98</f>
        <v>0</v>
      </c>
      <c r="F3" t="e">
        <f>E3^(-1/0.88)</f>
        <v>#DIV/0!</v>
      </c>
      <c r="G3">
        <v>95.76</v>
      </c>
      <c r="P3" t="s">
        <v>16</v>
      </c>
      <c r="Q3">
        <v>101.51</v>
      </c>
    </row>
    <row r="4" spans="1:17" x14ac:dyDescent="0.25">
      <c r="B4">
        <v>26</v>
      </c>
      <c r="C4">
        <f t="shared" ref="C4:C12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P4" t="s">
        <v>17</v>
      </c>
      <c r="Q4">
        <v>105.76</v>
      </c>
    </row>
    <row r="5" spans="1:17" x14ac:dyDescent="0.25">
      <c r="B5">
        <v>28</v>
      </c>
      <c r="C5">
        <f t="shared" si="1"/>
        <v>111.72</v>
      </c>
      <c r="D5">
        <v>71</v>
      </c>
      <c r="E5">
        <f t="shared" si="0"/>
        <v>211.58</v>
      </c>
      <c r="F5">
        <f>E5^(-1/0.88)</f>
        <v>2.2772736065616657E-3</v>
      </c>
      <c r="G5">
        <v>111.72</v>
      </c>
      <c r="P5" t="s">
        <v>18</v>
      </c>
    </row>
    <row r="6" spans="1:17" x14ac:dyDescent="0.25">
      <c r="B6">
        <v>30</v>
      </c>
      <c r="C6">
        <f t="shared" si="1"/>
        <v>119.7</v>
      </c>
      <c r="D6">
        <v>71</v>
      </c>
      <c r="E6">
        <f t="shared" si="0"/>
        <v>211.58</v>
      </c>
      <c r="F6">
        <f t="shared" ref="F6:F12" si="2">E6^(-1/0.88)</f>
        <v>2.2772736065616657E-3</v>
      </c>
      <c r="G6">
        <v>119.7</v>
      </c>
      <c r="P6" t="s">
        <v>19</v>
      </c>
      <c r="Q6">
        <v>69.62</v>
      </c>
    </row>
    <row r="7" spans="1:17" x14ac:dyDescent="0.25">
      <c r="B7">
        <v>32</v>
      </c>
      <c r="C7">
        <f t="shared" si="1"/>
        <v>127.68</v>
      </c>
      <c r="D7">
        <v>70</v>
      </c>
      <c r="E7">
        <f t="shared" si="0"/>
        <v>208.6</v>
      </c>
      <c r="F7">
        <f t="shared" si="2"/>
        <v>2.3142781953323513E-3</v>
      </c>
      <c r="G7">
        <v>127.68</v>
      </c>
      <c r="P7" t="s">
        <v>20</v>
      </c>
    </row>
    <row r="8" spans="1:17" x14ac:dyDescent="0.25">
      <c r="B8">
        <v>34</v>
      </c>
      <c r="C8">
        <f t="shared" si="1"/>
        <v>135.66</v>
      </c>
      <c r="D8">
        <v>38</v>
      </c>
      <c r="E8">
        <f t="shared" si="0"/>
        <v>113.24</v>
      </c>
      <c r="F8">
        <f t="shared" si="2"/>
        <v>4.6335008733165064E-3</v>
      </c>
      <c r="G8">
        <v>135.66</v>
      </c>
      <c r="P8" t="s">
        <v>21</v>
      </c>
    </row>
    <row r="9" spans="1:17" x14ac:dyDescent="0.25">
      <c r="B9">
        <v>36</v>
      </c>
      <c r="C9">
        <f t="shared" si="1"/>
        <v>143.64000000000001</v>
      </c>
      <c r="D9">
        <v>37</v>
      </c>
      <c r="E9">
        <f t="shared" si="0"/>
        <v>110.26</v>
      </c>
      <c r="F9">
        <f t="shared" si="2"/>
        <v>4.7760676318044622E-3</v>
      </c>
      <c r="G9">
        <v>143.64000000000001</v>
      </c>
      <c r="P9" t="s">
        <v>22</v>
      </c>
      <c r="Q9">
        <f>AVERAGE(Q3:Q8)</f>
        <v>92.296666666666667</v>
      </c>
    </row>
    <row r="10" spans="1:17" x14ac:dyDescent="0.25">
      <c r="B10">
        <v>38</v>
      </c>
      <c r="C10">
        <f t="shared" si="1"/>
        <v>151.62</v>
      </c>
      <c r="D10">
        <v>35</v>
      </c>
      <c r="E10">
        <f t="shared" si="0"/>
        <v>104.3</v>
      </c>
      <c r="F10">
        <f t="shared" si="2"/>
        <v>5.0873908443554222E-3</v>
      </c>
      <c r="G10">
        <v>151.62</v>
      </c>
      <c r="P10" t="s">
        <v>23</v>
      </c>
      <c r="Q10">
        <f>STDEV(Q3:Q8)</f>
        <v>19.753203115781901</v>
      </c>
    </row>
    <row r="11" spans="1:17" x14ac:dyDescent="0.25">
      <c r="B11">
        <v>40</v>
      </c>
      <c r="C11">
        <f t="shared" si="1"/>
        <v>159.60000000000002</v>
      </c>
      <c r="D11">
        <v>33</v>
      </c>
      <c r="E11">
        <f t="shared" si="0"/>
        <v>98.34</v>
      </c>
      <c r="F11">
        <f t="shared" si="2"/>
        <v>5.4391853589170489E-3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D12">
        <v>17</v>
      </c>
      <c r="E12">
        <f t="shared" si="0"/>
        <v>50.66</v>
      </c>
      <c r="F12">
        <f t="shared" si="2"/>
        <v>1.1557940943796448E-2</v>
      </c>
      <c r="G12">
        <v>199.5</v>
      </c>
    </row>
    <row r="17" spans="1:7" x14ac:dyDescent="0.25">
      <c r="A17" t="s">
        <v>25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E19">
        <f t="shared" ref="E19:E28" si="3">D19*2.98</f>
        <v>0</v>
      </c>
      <c r="F19" t="e">
        <f>E19^(-1/0.88)</f>
        <v>#DIV/0!</v>
      </c>
      <c r="G19">
        <v>95.76</v>
      </c>
    </row>
    <row r="20" spans="1:7" x14ac:dyDescent="0.25">
      <c r="B20">
        <v>26</v>
      </c>
      <c r="C20">
        <f t="shared" ref="C20:C28" si="4">B20*3.99</f>
        <v>103.74000000000001</v>
      </c>
      <c r="E20">
        <f t="shared" si="3"/>
        <v>0</v>
      </c>
      <c r="F20" t="e">
        <f>E20^(-1/0.88)</f>
        <v>#DIV/0!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D21">
        <v>389</v>
      </c>
      <c r="E21">
        <f t="shared" si="3"/>
        <v>1159.22</v>
      </c>
      <c r="F21">
        <f>E21^(-1/0.88)</f>
        <v>3.2960465361095122E-4</v>
      </c>
      <c r="G21">
        <v>111.72</v>
      </c>
    </row>
    <row r="22" spans="1:7" x14ac:dyDescent="0.25">
      <c r="B22">
        <v>30</v>
      </c>
      <c r="C22">
        <f t="shared" si="4"/>
        <v>119.7</v>
      </c>
      <c r="D22">
        <v>187</v>
      </c>
      <c r="E22">
        <f t="shared" si="3"/>
        <v>557.26</v>
      </c>
      <c r="F22">
        <f t="shared" ref="F22:F28" si="5">E22^(-1/0.88)</f>
        <v>7.5766930358747448E-4</v>
      </c>
      <c r="G22">
        <v>119.7</v>
      </c>
    </row>
    <row r="23" spans="1:7" x14ac:dyDescent="0.25">
      <c r="B23">
        <v>32</v>
      </c>
      <c r="C23">
        <f t="shared" si="4"/>
        <v>127.68</v>
      </c>
      <c r="D23">
        <v>180</v>
      </c>
      <c r="E23">
        <f t="shared" si="3"/>
        <v>536.4</v>
      </c>
      <c r="F23">
        <f t="shared" si="5"/>
        <v>7.9123996823432898E-4</v>
      </c>
      <c r="G23">
        <v>127.68</v>
      </c>
    </row>
    <row r="24" spans="1:7" x14ac:dyDescent="0.25">
      <c r="B24">
        <v>34</v>
      </c>
      <c r="C24">
        <f t="shared" si="4"/>
        <v>135.66</v>
      </c>
      <c r="D24">
        <v>153</v>
      </c>
      <c r="E24">
        <f t="shared" si="3"/>
        <v>455.94</v>
      </c>
      <c r="F24">
        <f t="shared" si="5"/>
        <v>9.5173049069603656E-4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89</v>
      </c>
      <c r="E25">
        <f t="shared" si="3"/>
        <v>265.21999999999997</v>
      </c>
      <c r="F25">
        <f t="shared" si="5"/>
        <v>1.7615783538862642E-3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89</v>
      </c>
      <c r="E26">
        <f t="shared" si="3"/>
        <v>265.21999999999997</v>
      </c>
      <c r="F26">
        <f t="shared" si="5"/>
        <v>1.7615783538862642E-3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88</v>
      </c>
      <c r="E27">
        <f t="shared" si="3"/>
        <v>262.24</v>
      </c>
      <c r="F27">
        <f t="shared" si="5"/>
        <v>1.7843435756282882E-3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D28">
        <v>46</v>
      </c>
      <c r="E28">
        <f t="shared" si="3"/>
        <v>137.08000000000001</v>
      </c>
      <c r="F28">
        <f t="shared" si="5"/>
        <v>3.7292401021267918E-3</v>
      </c>
      <c r="G28">
        <v>199.5</v>
      </c>
    </row>
    <row r="34" spans="1:7" x14ac:dyDescent="0.25">
      <c r="A34" t="s">
        <v>7</v>
      </c>
    </row>
    <row r="35" spans="1:7" x14ac:dyDescent="0.25">
      <c r="B35" t="s">
        <v>0</v>
      </c>
      <c r="C35" t="s">
        <v>4</v>
      </c>
      <c r="D35" t="s">
        <v>1</v>
      </c>
      <c r="E35" t="s">
        <v>2</v>
      </c>
      <c r="F35" t="s">
        <v>3</v>
      </c>
    </row>
    <row r="36" spans="1:7" x14ac:dyDescent="0.25">
      <c r="B36">
        <v>24</v>
      </c>
      <c r="C36">
        <f>B36*3.99</f>
        <v>95.76</v>
      </c>
      <c r="E36">
        <f t="shared" ref="E36:E45" si="6">D36*2.98</f>
        <v>0</v>
      </c>
      <c r="F36" t="e">
        <f>E36^(-1/0.88)</f>
        <v>#DIV/0!</v>
      </c>
      <c r="G36">
        <v>95.76</v>
      </c>
    </row>
    <row r="37" spans="1:7" x14ac:dyDescent="0.25">
      <c r="B37">
        <v>26</v>
      </c>
      <c r="C37">
        <f t="shared" ref="C37:C45" si="7">B37*3.99</f>
        <v>103.74000000000001</v>
      </c>
      <c r="E37">
        <f t="shared" si="6"/>
        <v>0</v>
      </c>
      <c r="F37" t="e">
        <f>E37^(-1/0.88)</f>
        <v>#DIV/0!</v>
      </c>
      <c r="G37">
        <v>103.74000000000001</v>
      </c>
    </row>
    <row r="38" spans="1:7" x14ac:dyDescent="0.25">
      <c r="B38">
        <v>28</v>
      </c>
      <c r="C38">
        <f t="shared" si="7"/>
        <v>111.72</v>
      </c>
      <c r="E38">
        <f t="shared" si="6"/>
        <v>0</v>
      </c>
      <c r="F38" t="e">
        <f>E38^(-1/0.88)</f>
        <v>#DIV/0!</v>
      </c>
      <c r="G38">
        <v>111.72</v>
      </c>
    </row>
    <row r="39" spans="1:7" x14ac:dyDescent="0.25">
      <c r="B39">
        <v>30</v>
      </c>
      <c r="C39">
        <f t="shared" si="7"/>
        <v>119.7</v>
      </c>
      <c r="E39">
        <f t="shared" si="6"/>
        <v>0</v>
      </c>
      <c r="F39" t="e">
        <f t="shared" ref="F39:F45" si="8">E39^(-1/0.88)</f>
        <v>#DIV/0!</v>
      </c>
      <c r="G39">
        <v>119.7</v>
      </c>
    </row>
    <row r="40" spans="1:7" x14ac:dyDescent="0.25">
      <c r="B40">
        <v>32</v>
      </c>
      <c r="C40">
        <f t="shared" si="7"/>
        <v>127.68</v>
      </c>
      <c r="E40">
        <f t="shared" si="6"/>
        <v>0</v>
      </c>
      <c r="F40" t="e">
        <f t="shared" si="8"/>
        <v>#DIV/0!</v>
      </c>
      <c r="G40">
        <v>127.68</v>
      </c>
    </row>
    <row r="41" spans="1:7" x14ac:dyDescent="0.25">
      <c r="B41">
        <v>34</v>
      </c>
      <c r="C41">
        <f t="shared" si="7"/>
        <v>135.66</v>
      </c>
      <c r="E41">
        <f t="shared" si="6"/>
        <v>0</v>
      </c>
      <c r="F41" t="e">
        <f t="shared" si="8"/>
        <v>#DIV/0!</v>
      </c>
      <c r="G41">
        <v>135.66</v>
      </c>
    </row>
    <row r="42" spans="1:7" x14ac:dyDescent="0.25">
      <c r="B42">
        <v>36</v>
      </c>
      <c r="C42">
        <f t="shared" si="7"/>
        <v>143.64000000000001</v>
      </c>
      <c r="D42">
        <v>159</v>
      </c>
      <c r="E42">
        <f t="shared" si="6"/>
        <v>473.82</v>
      </c>
      <c r="F42">
        <f t="shared" si="8"/>
        <v>9.11024885839367E-4</v>
      </c>
      <c r="G42">
        <v>143.64000000000001</v>
      </c>
    </row>
    <row r="43" spans="1:7" x14ac:dyDescent="0.25">
      <c r="B43">
        <v>38</v>
      </c>
      <c r="C43">
        <f t="shared" si="7"/>
        <v>151.62</v>
      </c>
      <c r="D43">
        <v>142</v>
      </c>
      <c r="E43">
        <f t="shared" si="6"/>
        <v>423.16</v>
      </c>
      <c r="F43">
        <f t="shared" si="8"/>
        <v>1.035942551636068E-3</v>
      </c>
      <c r="G43">
        <v>151.62</v>
      </c>
    </row>
    <row r="44" spans="1:7" x14ac:dyDescent="0.25">
      <c r="B44">
        <v>40</v>
      </c>
      <c r="C44">
        <f t="shared" si="7"/>
        <v>159.60000000000002</v>
      </c>
      <c r="D44">
        <v>142</v>
      </c>
      <c r="E44">
        <f t="shared" si="6"/>
        <v>423.16</v>
      </c>
      <c r="F44">
        <f t="shared" si="8"/>
        <v>1.035942551636068E-3</v>
      </c>
      <c r="G44">
        <v>159.60000000000002</v>
      </c>
    </row>
    <row r="45" spans="1:7" x14ac:dyDescent="0.25">
      <c r="B45">
        <v>50</v>
      </c>
      <c r="C45">
        <f t="shared" si="7"/>
        <v>199.5</v>
      </c>
      <c r="D45">
        <v>139</v>
      </c>
      <c r="E45">
        <f t="shared" si="6"/>
        <v>414.21999999999997</v>
      </c>
      <c r="F45">
        <f t="shared" si="8"/>
        <v>1.0613870647656809E-3</v>
      </c>
      <c r="G45">
        <v>199.5</v>
      </c>
    </row>
    <row r="50" spans="1:7" x14ac:dyDescent="0.25">
      <c r="D50" t="s">
        <v>59</v>
      </c>
    </row>
    <row r="52" spans="1:7" x14ac:dyDescent="0.25">
      <c r="A52" t="s">
        <v>7</v>
      </c>
    </row>
    <row r="53" spans="1:7" x14ac:dyDescent="0.25">
      <c r="B53" t="s">
        <v>0</v>
      </c>
      <c r="C53" t="s">
        <v>4</v>
      </c>
      <c r="D53" t="s">
        <v>1</v>
      </c>
      <c r="E53" t="s">
        <v>2</v>
      </c>
      <c r="F53" t="s">
        <v>3</v>
      </c>
    </row>
    <row r="54" spans="1:7" x14ac:dyDescent="0.25">
      <c r="B54">
        <v>24</v>
      </c>
      <c r="C54">
        <f>B54*3.99</f>
        <v>95.76</v>
      </c>
      <c r="E54">
        <f t="shared" ref="E54:E63" si="9">D54*2.98</f>
        <v>0</v>
      </c>
      <c r="F54" t="e">
        <f>E54^(-1/0.88)</f>
        <v>#DIV/0!</v>
      </c>
      <c r="G54">
        <v>95.76</v>
      </c>
    </row>
    <row r="55" spans="1:7" x14ac:dyDescent="0.25">
      <c r="B55">
        <v>26</v>
      </c>
      <c r="C55">
        <f t="shared" ref="C55:C63" si="10">B55*3.99</f>
        <v>103.74000000000001</v>
      </c>
      <c r="E55">
        <f t="shared" si="9"/>
        <v>0</v>
      </c>
      <c r="F55" t="e">
        <f>E55^(-1/0.88)</f>
        <v>#DIV/0!</v>
      </c>
      <c r="G55">
        <v>103.74000000000001</v>
      </c>
    </row>
    <row r="56" spans="1:7" x14ac:dyDescent="0.25">
      <c r="B56">
        <v>28</v>
      </c>
      <c r="C56">
        <f t="shared" si="10"/>
        <v>111.72</v>
      </c>
      <c r="E56">
        <f t="shared" si="9"/>
        <v>0</v>
      </c>
      <c r="F56" t="e">
        <f>E56^(-1/0.88)</f>
        <v>#DIV/0!</v>
      </c>
      <c r="G56">
        <v>111.72</v>
      </c>
    </row>
    <row r="57" spans="1:7" x14ac:dyDescent="0.25">
      <c r="B57">
        <v>30</v>
      </c>
      <c r="C57">
        <f t="shared" si="10"/>
        <v>119.7</v>
      </c>
      <c r="E57">
        <f t="shared" si="9"/>
        <v>0</v>
      </c>
      <c r="F57" t="e">
        <f t="shared" ref="F57:F63" si="11">E57^(-1/0.88)</f>
        <v>#DIV/0!</v>
      </c>
      <c r="G57">
        <v>119.7</v>
      </c>
    </row>
    <row r="58" spans="1:7" x14ac:dyDescent="0.25">
      <c r="B58">
        <v>32</v>
      </c>
      <c r="C58">
        <f t="shared" si="10"/>
        <v>127.68</v>
      </c>
      <c r="E58">
        <f t="shared" si="9"/>
        <v>0</v>
      </c>
      <c r="F58" t="e">
        <f t="shared" si="11"/>
        <v>#DIV/0!</v>
      </c>
      <c r="G58">
        <v>127.68</v>
      </c>
    </row>
    <row r="59" spans="1:7" x14ac:dyDescent="0.25">
      <c r="B59">
        <v>34</v>
      </c>
      <c r="C59">
        <f t="shared" si="10"/>
        <v>135.66</v>
      </c>
      <c r="E59">
        <f t="shared" si="9"/>
        <v>0</v>
      </c>
      <c r="F59" t="e">
        <f t="shared" si="11"/>
        <v>#DIV/0!</v>
      </c>
      <c r="G59">
        <v>135.66</v>
      </c>
    </row>
    <row r="60" spans="1:7" x14ac:dyDescent="0.25">
      <c r="B60">
        <v>36</v>
      </c>
      <c r="C60">
        <f t="shared" si="10"/>
        <v>143.64000000000001</v>
      </c>
      <c r="D60">
        <v>281</v>
      </c>
      <c r="E60">
        <f t="shared" si="9"/>
        <v>837.38</v>
      </c>
      <c r="F60">
        <f t="shared" si="11"/>
        <v>4.769765891845552E-4</v>
      </c>
      <c r="G60">
        <v>143.64000000000001</v>
      </c>
    </row>
    <row r="61" spans="1:7" x14ac:dyDescent="0.25">
      <c r="B61">
        <v>38</v>
      </c>
      <c r="C61">
        <f t="shared" si="10"/>
        <v>151.62</v>
      </c>
      <c r="D61">
        <v>279</v>
      </c>
      <c r="E61">
        <f t="shared" si="9"/>
        <v>831.42</v>
      </c>
      <c r="F61">
        <f t="shared" si="11"/>
        <v>4.8086392411516627E-4</v>
      </c>
      <c r="G61">
        <v>151.62</v>
      </c>
    </row>
    <row r="62" spans="1:7" x14ac:dyDescent="0.25">
      <c r="B62">
        <v>40</v>
      </c>
      <c r="C62">
        <f t="shared" si="10"/>
        <v>159.60000000000002</v>
      </c>
      <c r="D62">
        <v>249</v>
      </c>
      <c r="E62">
        <f t="shared" si="9"/>
        <v>742.02</v>
      </c>
      <c r="F62">
        <f t="shared" si="11"/>
        <v>5.4722266678384969E-4</v>
      </c>
      <c r="G62">
        <v>159.60000000000002</v>
      </c>
    </row>
    <row r="63" spans="1:7" x14ac:dyDescent="0.25">
      <c r="B63">
        <v>50</v>
      </c>
      <c r="C63">
        <f t="shared" si="10"/>
        <v>199.5</v>
      </c>
      <c r="D63">
        <v>179</v>
      </c>
      <c r="E63">
        <f t="shared" si="9"/>
        <v>533.41999999999996</v>
      </c>
      <c r="F63">
        <f t="shared" si="11"/>
        <v>7.962649864622504E-4</v>
      </c>
      <c r="G63">
        <v>199.5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77"/>
  <sheetViews>
    <sheetView zoomScale="60" zoomScaleNormal="60" workbookViewId="0">
      <selection activeCell="M67" sqref="L67:M67"/>
    </sheetView>
  </sheetViews>
  <sheetFormatPr defaultRowHeight="15" x14ac:dyDescent="0.25"/>
  <cols>
    <col min="1" max="1" width="15.28515625" bestFit="1" customWidth="1"/>
    <col min="2" max="2" width="23.140625" bestFit="1" customWidth="1"/>
    <col min="3" max="4" width="20.140625" bestFit="1" customWidth="1"/>
    <col min="5" max="5" width="11.85546875" bestFit="1" customWidth="1"/>
    <col min="6" max="6" width="15.140625" bestFit="1" customWidth="1"/>
    <col min="7" max="7" width="23.140625" bestFit="1" customWidth="1"/>
    <col min="9" max="9" width="15.28515625" bestFit="1" customWidth="1"/>
    <col min="11" max="11" width="15.42578125" bestFit="1" customWidth="1"/>
    <col min="12" max="12" width="23.140625" bestFit="1" customWidth="1"/>
    <col min="13" max="13" width="11.85546875" bestFit="1" customWidth="1"/>
    <col min="14" max="14" width="19" bestFit="1" customWidth="1"/>
    <col min="15" max="15" width="18" bestFit="1" customWidth="1"/>
    <col min="17" max="17" width="21" bestFit="1" customWidth="1"/>
    <col min="19" max="19" width="15.28515625" bestFit="1" customWidth="1"/>
    <col min="20" max="20" width="13" bestFit="1" customWidth="1"/>
    <col min="21" max="21" width="15.140625" bestFit="1" customWidth="1"/>
    <col min="22" max="22" width="23.140625" bestFit="1" customWidth="1"/>
    <col min="24" max="24" width="20.140625" bestFit="1" customWidth="1"/>
  </cols>
  <sheetData>
    <row r="2" spans="1:22" x14ac:dyDescent="0.25">
      <c r="A2" t="s">
        <v>14</v>
      </c>
      <c r="B2" t="s">
        <v>33</v>
      </c>
      <c r="C2" t="s">
        <v>63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  <c r="J2" t="s">
        <v>40</v>
      </c>
      <c r="K2" t="s">
        <v>41</v>
      </c>
      <c r="L2" t="s">
        <v>42</v>
      </c>
      <c r="M2" t="s">
        <v>43</v>
      </c>
      <c r="N2" t="s">
        <v>44</v>
      </c>
      <c r="O2" t="s">
        <v>45</v>
      </c>
      <c r="P2" t="s">
        <v>46</v>
      </c>
      <c r="Q2" t="s">
        <v>47</v>
      </c>
      <c r="R2" t="s">
        <v>48</v>
      </c>
      <c r="S2" t="s">
        <v>49</v>
      </c>
      <c r="T2" t="s">
        <v>50</v>
      </c>
      <c r="U2" t="s">
        <v>51</v>
      </c>
      <c r="V2" t="s">
        <v>52</v>
      </c>
    </row>
    <row r="3" spans="1:22" x14ac:dyDescent="0.25">
      <c r="A3" t="s">
        <v>16</v>
      </c>
      <c r="B3">
        <v>89.230999999999995</v>
      </c>
      <c r="C3">
        <v>43.476999999999997</v>
      </c>
      <c r="D3">
        <v>101.32</v>
      </c>
      <c r="E3">
        <v>117.79</v>
      </c>
      <c r="G3">
        <v>75.796000000000006</v>
      </c>
      <c r="H3">
        <v>107.98</v>
      </c>
      <c r="I3">
        <v>100.52</v>
      </c>
      <c r="J3">
        <v>81.971000000000004</v>
      </c>
      <c r="K3">
        <v>139.63999999999999</v>
      </c>
      <c r="L3">
        <v>35.450000000000003</v>
      </c>
      <c r="M3">
        <v>89.037999999999997</v>
      </c>
      <c r="N3">
        <v>98.453999999999994</v>
      </c>
      <c r="O3">
        <v>81.353999999999999</v>
      </c>
      <c r="P3">
        <v>87.123000000000005</v>
      </c>
      <c r="Q3">
        <v>115.15</v>
      </c>
      <c r="R3">
        <v>88.364999999999995</v>
      </c>
      <c r="S3">
        <v>102.84</v>
      </c>
      <c r="U3">
        <v>119.69</v>
      </c>
      <c r="V3">
        <v>101.51</v>
      </c>
    </row>
    <row r="4" spans="1:22" x14ac:dyDescent="0.25">
      <c r="A4" t="s">
        <v>17</v>
      </c>
      <c r="B4">
        <v>90.094999999999999</v>
      </c>
      <c r="C4">
        <v>33.317999999999998</v>
      </c>
      <c r="D4">
        <v>131.41</v>
      </c>
      <c r="E4">
        <v>88.93</v>
      </c>
      <c r="F4" t="s">
        <v>70</v>
      </c>
      <c r="G4">
        <v>92.501999999999995</v>
      </c>
      <c r="H4">
        <v>106.23</v>
      </c>
      <c r="J4">
        <v>82.697999999999993</v>
      </c>
      <c r="K4">
        <v>119.44</v>
      </c>
      <c r="L4">
        <v>55.192999999999998</v>
      </c>
      <c r="M4">
        <v>92.588999999999999</v>
      </c>
      <c r="N4">
        <v>56.573999999999998</v>
      </c>
      <c r="O4">
        <v>85.528999999999996</v>
      </c>
      <c r="Q4">
        <v>63.57</v>
      </c>
      <c r="R4">
        <v>97.558999999999997</v>
      </c>
      <c r="S4">
        <v>83.021000000000001</v>
      </c>
      <c r="T4">
        <v>67.834000000000003</v>
      </c>
      <c r="U4">
        <v>105.79</v>
      </c>
      <c r="V4">
        <v>105.76</v>
      </c>
    </row>
    <row r="5" spans="1:22" x14ac:dyDescent="0.25">
      <c r="A5" t="s">
        <v>18</v>
      </c>
      <c r="C5">
        <v>86.200999999999993</v>
      </c>
      <c r="D5">
        <v>154.35</v>
      </c>
      <c r="E5">
        <v>132.41999999999999</v>
      </c>
      <c r="F5" t="s">
        <v>71</v>
      </c>
      <c r="G5">
        <v>49.127000000000002</v>
      </c>
      <c r="K5">
        <v>142.01</v>
      </c>
      <c r="M5">
        <v>52.920999999999999</v>
      </c>
      <c r="N5">
        <v>117.017</v>
      </c>
      <c r="P5">
        <v>78.721999999999994</v>
      </c>
      <c r="Q5">
        <v>102.76</v>
      </c>
      <c r="R5">
        <v>80.281000000000006</v>
      </c>
      <c r="S5">
        <v>34.405000000000001</v>
      </c>
      <c r="T5">
        <v>96.364000000000004</v>
      </c>
      <c r="U5">
        <v>119.75</v>
      </c>
    </row>
    <row r="6" spans="1:22" x14ac:dyDescent="0.25">
      <c r="A6" t="s">
        <v>19</v>
      </c>
      <c r="B6" t="s">
        <v>24</v>
      </c>
      <c r="D6">
        <v>163.74</v>
      </c>
      <c r="E6">
        <v>115.28</v>
      </c>
      <c r="G6">
        <v>99.486999999999995</v>
      </c>
      <c r="I6">
        <v>76.97</v>
      </c>
      <c r="J6">
        <v>67.497</v>
      </c>
      <c r="K6">
        <v>127.08</v>
      </c>
      <c r="L6">
        <v>91.68</v>
      </c>
      <c r="P6">
        <v>82.033000000000001</v>
      </c>
      <c r="Q6">
        <v>70.599999999999994</v>
      </c>
      <c r="R6">
        <v>84.942999999999998</v>
      </c>
      <c r="S6">
        <v>91.814999999999998</v>
      </c>
      <c r="T6">
        <v>105.95</v>
      </c>
      <c r="U6">
        <v>108.6</v>
      </c>
      <c r="V6">
        <v>69.62</v>
      </c>
    </row>
    <row r="7" spans="1:22" x14ac:dyDescent="0.25">
      <c r="A7" t="s">
        <v>20</v>
      </c>
      <c r="C7">
        <v>100.46</v>
      </c>
      <c r="D7">
        <v>84.62</v>
      </c>
      <c r="E7">
        <v>120.75</v>
      </c>
      <c r="G7">
        <v>87.480999999999995</v>
      </c>
      <c r="H7">
        <v>102.44</v>
      </c>
      <c r="I7">
        <v>80.433000000000007</v>
      </c>
      <c r="J7">
        <v>57.453000000000003</v>
      </c>
      <c r="K7">
        <v>129.65</v>
      </c>
      <c r="L7">
        <v>84.15</v>
      </c>
      <c r="M7">
        <v>113.59</v>
      </c>
      <c r="O7">
        <v>57.363</v>
      </c>
      <c r="S7">
        <v>61.793999999999997</v>
      </c>
      <c r="U7">
        <v>111.3</v>
      </c>
    </row>
    <row r="8" spans="1:22" x14ac:dyDescent="0.25">
      <c r="A8" t="s">
        <v>21</v>
      </c>
      <c r="C8">
        <v>81.64</v>
      </c>
      <c r="D8">
        <v>129.85</v>
      </c>
      <c r="E8">
        <v>121.62</v>
      </c>
      <c r="G8">
        <v>73.894000000000005</v>
      </c>
      <c r="H8">
        <v>132.24</v>
      </c>
      <c r="I8">
        <v>95.506</v>
      </c>
      <c r="K8">
        <v>68.17</v>
      </c>
      <c r="L8">
        <v>134.54</v>
      </c>
      <c r="M8">
        <v>90.028999999999996</v>
      </c>
      <c r="N8">
        <v>89.292000000000002</v>
      </c>
      <c r="O8">
        <v>96.625</v>
      </c>
      <c r="T8">
        <v>94.713999999999999</v>
      </c>
      <c r="U8">
        <v>127.79</v>
      </c>
    </row>
    <row r="9" spans="1:22" x14ac:dyDescent="0.25">
      <c r="A9" t="s">
        <v>22</v>
      </c>
      <c r="B9">
        <f>AVERAGE(B3:B8)</f>
        <v>89.662999999999997</v>
      </c>
      <c r="C9">
        <f>AVERAGE(C3:C8)</f>
        <v>69.019199999999984</v>
      </c>
      <c r="D9">
        <f>AVERAGE(D3:D8)</f>
        <v>127.54833333333333</v>
      </c>
      <c r="E9">
        <f>AVERAGE(E3:E8)</f>
        <v>116.13166666666666</v>
      </c>
      <c r="G9">
        <f t="shared" ref="G9:M9" si="0">AVERAGE(G3:G8)</f>
        <v>79.714500000000001</v>
      </c>
      <c r="H9">
        <f t="shared" si="0"/>
        <v>112.2225</v>
      </c>
      <c r="I9">
        <f t="shared" si="0"/>
        <v>88.357249999999993</v>
      </c>
      <c r="J9">
        <f t="shared" si="0"/>
        <v>72.404750000000007</v>
      </c>
      <c r="K9">
        <f t="shared" si="0"/>
        <v>120.99833333333332</v>
      </c>
      <c r="L9">
        <f t="shared" si="0"/>
        <v>80.202600000000004</v>
      </c>
      <c r="M9">
        <f t="shared" si="0"/>
        <v>87.633400000000009</v>
      </c>
      <c r="N9">
        <v>90.334249999999997</v>
      </c>
      <c r="O9">
        <f>AVERAGE(O3:O8)</f>
        <v>80.217749999999995</v>
      </c>
      <c r="P9">
        <f>AVERAGE(P3:P8)</f>
        <v>82.625999999999991</v>
      </c>
      <c r="Q9">
        <f>AVERAGE(Q3:Q8)</f>
        <v>88.02000000000001</v>
      </c>
      <c r="R9">
        <v>87.786999999999992</v>
      </c>
      <c r="S9">
        <f>AVERAGE(S3:S8)</f>
        <v>74.775000000000006</v>
      </c>
      <c r="T9">
        <f>AVERAGE(T3:T8)</f>
        <v>91.215500000000006</v>
      </c>
      <c r="U9">
        <f>AVERAGE(U3:U8)</f>
        <v>115.48666666666666</v>
      </c>
      <c r="V9">
        <f>AVERAGE(V3:V8)</f>
        <v>92.296666666666667</v>
      </c>
    </row>
    <row r="10" spans="1:22" x14ac:dyDescent="0.25">
      <c r="A10" t="s">
        <v>23</v>
      </c>
      <c r="B10">
        <f>STDEV(B3:B8)</f>
        <v>0.61094025894518011</v>
      </c>
      <c r="C10">
        <f>STDEV(C3:C8)</f>
        <v>29.025860929522846</v>
      </c>
      <c r="D10">
        <f>STDEV(D3:D8)</f>
        <v>30.262661757794415</v>
      </c>
      <c r="E10">
        <f>STDEV(E3:E8)</f>
        <v>14.561364519394079</v>
      </c>
      <c r="G10">
        <f t="shared" ref="G10:M10" si="1">STDEV(G3:G8)</f>
        <v>17.886410783049751</v>
      </c>
      <c r="H10">
        <f t="shared" si="1"/>
        <v>13.543835928815303</v>
      </c>
      <c r="I10">
        <f t="shared" si="1"/>
        <v>11.423664250872731</v>
      </c>
      <c r="J10">
        <f t="shared" si="1"/>
        <v>12.180653687302607</v>
      </c>
      <c r="K10">
        <f t="shared" si="1"/>
        <v>27.181247518586673</v>
      </c>
      <c r="L10">
        <f t="shared" si="1"/>
        <v>37.842241659288618</v>
      </c>
      <c r="M10">
        <f t="shared" si="1"/>
        <v>21.857296088491832</v>
      </c>
      <c r="N10">
        <v>25.289920605846078</v>
      </c>
      <c r="O10">
        <f>STDEV(O3:O8)</f>
        <v>16.543255330093544</v>
      </c>
      <c r="P10">
        <f>STDEV(P3:P8)</f>
        <v>4.2317770498928748</v>
      </c>
      <c r="Q10">
        <f>STDEV(Q3:Q8)</f>
        <v>24.863382714345175</v>
      </c>
      <c r="R10">
        <v>7.3087718986616776</v>
      </c>
      <c r="S10">
        <f>STDEV(S3:S8)</f>
        <v>27.130451535129282</v>
      </c>
      <c r="T10">
        <f>STDEV(T3:T8)</f>
        <v>16.355901962288691</v>
      </c>
      <c r="U10">
        <f>STDEV(U3:U8)</f>
        <v>8.321006349394688</v>
      </c>
      <c r="V10">
        <f>STDEV(V3:V8)</f>
        <v>19.753203115781901</v>
      </c>
    </row>
    <row r="13" spans="1:22" x14ac:dyDescent="0.25">
      <c r="A13" t="s">
        <v>53</v>
      </c>
      <c r="B13" t="s">
        <v>22</v>
      </c>
      <c r="C13" t="s">
        <v>23</v>
      </c>
      <c r="E13">
        <v>9010</v>
      </c>
      <c r="F13" t="s">
        <v>22</v>
      </c>
      <c r="G13" t="s">
        <v>23</v>
      </c>
      <c r="I13">
        <v>7525</v>
      </c>
      <c r="J13" t="s">
        <v>22</v>
      </c>
      <c r="K13" t="s">
        <v>23</v>
      </c>
      <c r="M13">
        <v>5050</v>
      </c>
      <c r="N13" t="s">
        <v>22</v>
      </c>
      <c r="O13" t="s">
        <v>23</v>
      </c>
    </row>
    <row r="14" spans="1:22" x14ac:dyDescent="0.25">
      <c r="A14" s="1">
        <v>0.01</v>
      </c>
      <c r="B14">
        <f>AVERAGE(B3:B4,B3:C9)</f>
        <v>78.402745454545453</v>
      </c>
      <c r="C14">
        <f>STDEV(B3:C8)</f>
        <v>25.752620946595854</v>
      </c>
      <c r="E14" s="1">
        <v>0.01</v>
      </c>
      <c r="F14">
        <v>127.54833333333333</v>
      </c>
      <c r="G14">
        <v>30.262661757794415</v>
      </c>
      <c r="I14" s="1">
        <v>0.01</v>
      </c>
      <c r="J14">
        <v>116.13166666666666</v>
      </c>
      <c r="K14">
        <v>14.561364519394079</v>
      </c>
      <c r="M14" s="1">
        <v>0.01</v>
      </c>
    </row>
    <row r="15" spans="1:22" x14ac:dyDescent="0.25">
      <c r="A15" s="1">
        <v>0.1</v>
      </c>
      <c r="B15">
        <v>79.714500000000001</v>
      </c>
      <c r="C15">
        <v>17.886410783049751</v>
      </c>
      <c r="E15" s="1">
        <v>0.1</v>
      </c>
      <c r="F15">
        <v>112.2225</v>
      </c>
      <c r="G15">
        <v>13.543835928815303</v>
      </c>
      <c r="I15" s="1">
        <v>0.1</v>
      </c>
      <c r="J15">
        <v>88.357249999999993</v>
      </c>
      <c r="K15">
        <v>11.423664250872731</v>
      </c>
      <c r="M15" s="1">
        <v>0.1</v>
      </c>
      <c r="N15">
        <v>72.404750000000007</v>
      </c>
      <c r="O15">
        <v>12.180653687302607</v>
      </c>
    </row>
    <row r="16" spans="1:22" x14ac:dyDescent="0.25">
      <c r="A16" s="1">
        <v>0.3</v>
      </c>
      <c r="B16">
        <v>120.99833333333332</v>
      </c>
      <c r="C16">
        <v>27.181247518586673</v>
      </c>
      <c r="E16" s="1">
        <v>0.3</v>
      </c>
      <c r="F16">
        <v>80.202600000000004</v>
      </c>
      <c r="G16">
        <v>37.842241659288618</v>
      </c>
      <c r="I16" s="1">
        <v>0.3</v>
      </c>
      <c r="J16">
        <v>87.633400000000009</v>
      </c>
      <c r="K16">
        <v>21.857296088491832</v>
      </c>
      <c r="M16" s="1">
        <v>0.3</v>
      </c>
      <c r="N16">
        <v>90.334000000000003</v>
      </c>
      <c r="O16">
        <v>25.298999999999999</v>
      </c>
    </row>
    <row r="17" spans="1:24" x14ac:dyDescent="0.25">
      <c r="A17" s="1">
        <v>0.5</v>
      </c>
      <c r="B17">
        <v>80.217749999999995</v>
      </c>
      <c r="C17">
        <v>16.543255330093544</v>
      </c>
      <c r="E17" s="1">
        <v>0.5</v>
      </c>
      <c r="F17">
        <v>82.625999999999991</v>
      </c>
      <c r="G17">
        <v>4.2317770498928748</v>
      </c>
      <c r="I17" s="1">
        <v>0.5</v>
      </c>
      <c r="J17">
        <v>88.02000000000001</v>
      </c>
      <c r="K17">
        <v>24.863382714345175</v>
      </c>
      <c r="M17" s="1">
        <v>0.5</v>
      </c>
      <c r="N17">
        <v>87.786999999999992</v>
      </c>
      <c r="O17">
        <v>7.3087718986616776</v>
      </c>
    </row>
    <row r="18" spans="1:24" x14ac:dyDescent="0.25">
      <c r="A18" s="1">
        <v>1</v>
      </c>
      <c r="E18" s="1">
        <v>1</v>
      </c>
      <c r="F18">
        <v>91.215500000000006</v>
      </c>
      <c r="G18">
        <v>16.355901962288691</v>
      </c>
      <c r="I18" s="1">
        <v>1</v>
      </c>
      <c r="J18">
        <v>115.48666666666666</v>
      </c>
      <c r="K18">
        <v>8.321006349394688</v>
      </c>
      <c r="M18" s="1">
        <v>1</v>
      </c>
      <c r="N18">
        <v>92.296666666666667</v>
      </c>
      <c r="O18">
        <v>19.753203115781901</v>
      </c>
    </row>
    <row r="20" spans="1:24" x14ac:dyDescent="0.25">
      <c r="A20" t="s">
        <v>54</v>
      </c>
      <c r="B20" t="s">
        <v>55</v>
      </c>
      <c r="C20" t="s">
        <v>22</v>
      </c>
      <c r="D20" t="s">
        <v>23</v>
      </c>
      <c r="F20" s="1">
        <v>0.1</v>
      </c>
      <c r="G20" t="s">
        <v>55</v>
      </c>
      <c r="H20" t="s">
        <v>22</v>
      </c>
      <c r="I20" t="s">
        <v>23</v>
      </c>
      <c r="K20" s="1">
        <v>0.3</v>
      </c>
      <c r="L20" t="s">
        <v>55</v>
      </c>
      <c r="M20" t="s">
        <v>22</v>
      </c>
      <c r="N20" t="s">
        <v>23</v>
      </c>
      <c r="P20" s="1">
        <v>0.5</v>
      </c>
      <c r="Q20" s="1" t="s">
        <v>55</v>
      </c>
      <c r="R20" t="s">
        <v>22</v>
      </c>
      <c r="S20" t="s">
        <v>23</v>
      </c>
      <c r="U20" s="1">
        <v>1</v>
      </c>
      <c r="V20" s="1" t="s">
        <v>55</v>
      </c>
      <c r="W20" t="s">
        <v>22</v>
      </c>
      <c r="X20" t="s">
        <v>23</v>
      </c>
    </row>
    <row r="21" spans="1:24" x14ac:dyDescent="0.25">
      <c r="A21" s="2" t="s">
        <v>53</v>
      </c>
      <c r="B21" s="2">
        <v>0</v>
      </c>
      <c r="C21">
        <v>89.662999999999997</v>
      </c>
      <c r="D21">
        <v>0.61094025894518011</v>
      </c>
      <c r="F21" s="2" t="s">
        <v>53</v>
      </c>
      <c r="G21" s="2">
        <v>0</v>
      </c>
      <c r="H21">
        <v>79.715000000000003</v>
      </c>
      <c r="I21" s="3">
        <v>17.885999999999999</v>
      </c>
      <c r="K21" s="2" t="s">
        <v>53</v>
      </c>
      <c r="L21" s="2">
        <v>0</v>
      </c>
      <c r="M21">
        <v>120.99833333333332</v>
      </c>
      <c r="N21">
        <v>27.181247518586673</v>
      </c>
      <c r="P21" s="2" t="s">
        <v>53</v>
      </c>
      <c r="Q21" s="2">
        <v>0</v>
      </c>
      <c r="R21">
        <v>80.217749999999995</v>
      </c>
      <c r="S21">
        <v>16.543255330093544</v>
      </c>
      <c r="U21" s="2" t="s">
        <v>53</v>
      </c>
      <c r="V21" s="2">
        <v>0</v>
      </c>
      <c r="W21">
        <v>74.775000000000006</v>
      </c>
      <c r="X21">
        <v>27.130451535129282</v>
      </c>
    </row>
    <row r="22" spans="1:24" x14ac:dyDescent="0.25">
      <c r="A22">
        <v>9010</v>
      </c>
      <c r="B22">
        <v>10</v>
      </c>
      <c r="C22">
        <v>127.54833333333333</v>
      </c>
      <c r="D22">
        <v>30.262661757794415</v>
      </c>
      <c r="F22">
        <v>9010</v>
      </c>
      <c r="G22">
        <v>10</v>
      </c>
      <c r="H22">
        <v>112.2225</v>
      </c>
      <c r="I22">
        <v>13.543835928815303</v>
      </c>
      <c r="K22">
        <v>9010</v>
      </c>
      <c r="L22">
        <v>10</v>
      </c>
      <c r="M22">
        <v>80.202600000000004</v>
      </c>
      <c r="N22">
        <v>37.842241659288618</v>
      </c>
      <c r="P22">
        <v>9010</v>
      </c>
      <c r="Q22">
        <v>10</v>
      </c>
      <c r="R22">
        <v>82.625999999999991</v>
      </c>
      <c r="S22">
        <v>4.2317770498928748</v>
      </c>
      <c r="U22">
        <v>9010</v>
      </c>
      <c r="V22">
        <v>10</v>
      </c>
      <c r="W22">
        <v>91.215500000000006</v>
      </c>
      <c r="X22">
        <v>16.355901962288691</v>
      </c>
    </row>
    <row r="23" spans="1:24" x14ac:dyDescent="0.25">
      <c r="A23">
        <v>7525</v>
      </c>
      <c r="B23">
        <v>25</v>
      </c>
      <c r="C23">
        <v>116.13166666666666</v>
      </c>
      <c r="D23">
        <v>14.561364519394079</v>
      </c>
      <c r="F23">
        <v>7525</v>
      </c>
      <c r="G23">
        <v>25</v>
      </c>
      <c r="H23">
        <v>88.357249999999993</v>
      </c>
      <c r="I23">
        <v>11.423664250872731</v>
      </c>
      <c r="K23">
        <v>7525</v>
      </c>
      <c r="L23">
        <v>25</v>
      </c>
      <c r="M23">
        <v>87.633400000000009</v>
      </c>
      <c r="N23">
        <v>21.857296088491832</v>
      </c>
      <c r="P23">
        <v>7525</v>
      </c>
      <c r="Q23">
        <v>25</v>
      </c>
      <c r="R23">
        <v>88.02000000000001</v>
      </c>
      <c r="S23">
        <v>24.863382714345175</v>
      </c>
      <c r="U23">
        <v>7525</v>
      </c>
      <c r="V23">
        <v>25</v>
      </c>
      <c r="W23">
        <v>115.48666666666666</v>
      </c>
      <c r="X23">
        <v>8.321006349394688</v>
      </c>
    </row>
    <row r="24" spans="1:24" x14ac:dyDescent="0.25">
      <c r="A24">
        <v>5050</v>
      </c>
      <c r="B24">
        <v>50</v>
      </c>
      <c r="F24">
        <v>5050</v>
      </c>
      <c r="G24">
        <v>50</v>
      </c>
      <c r="H24">
        <v>72.404750000000007</v>
      </c>
      <c r="I24">
        <v>12.180999999999999</v>
      </c>
      <c r="K24">
        <v>5050</v>
      </c>
      <c r="L24">
        <v>50</v>
      </c>
      <c r="M24">
        <v>90.334000000000003</v>
      </c>
      <c r="N24">
        <v>25.298999999999999</v>
      </c>
      <c r="P24">
        <v>5050</v>
      </c>
      <c r="Q24">
        <v>50</v>
      </c>
      <c r="R24">
        <v>87.786999999999992</v>
      </c>
      <c r="S24">
        <v>7.3087718986616776</v>
      </c>
      <c r="U24">
        <v>5050</v>
      </c>
      <c r="V24">
        <v>50</v>
      </c>
      <c r="W24">
        <v>92.296666666666667</v>
      </c>
      <c r="X24">
        <v>19.753203115781901</v>
      </c>
    </row>
    <row r="44" spans="1:9" x14ac:dyDescent="0.25">
      <c r="C44" t="s">
        <v>22</v>
      </c>
      <c r="G44" t="s">
        <v>23</v>
      </c>
    </row>
    <row r="45" spans="1:9" x14ac:dyDescent="0.25">
      <c r="B45">
        <v>0</v>
      </c>
      <c r="C45">
        <v>10</v>
      </c>
      <c r="D45">
        <v>25</v>
      </c>
      <c r="E45">
        <v>50</v>
      </c>
      <c r="F45">
        <v>0</v>
      </c>
      <c r="G45">
        <v>10</v>
      </c>
      <c r="H45">
        <v>25</v>
      </c>
      <c r="I45">
        <v>50</v>
      </c>
    </row>
    <row r="46" spans="1:9" x14ac:dyDescent="0.25">
      <c r="A46">
        <v>1</v>
      </c>
      <c r="B46">
        <v>78.402745454545453</v>
      </c>
      <c r="C46">
        <v>177.54833333333335</v>
      </c>
      <c r="D46">
        <v>216.13166666666666</v>
      </c>
      <c r="F46">
        <v>25.752620946595854</v>
      </c>
      <c r="G46">
        <v>30.262661757794415</v>
      </c>
      <c r="H46">
        <v>14.561364519394079</v>
      </c>
    </row>
    <row r="47" spans="1:9" x14ac:dyDescent="0.25">
      <c r="A47">
        <v>10</v>
      </c>
      <c r="B47">
        <v>79.714500000000001</v>
      </c>
      <c r="C47">
        <v>162.2225</v>
      </c>
      <c r="D47">
        <v>188.35724999999999</v>
      </c>
      <c r="E47">
        <v>222.40475000000001</v>
      </c>
      <c r="F47">
        <v>17.886410783049751</v>
      </c>
      <c r="G47">
        <v>13.543835928815303</v>
      </c>
      <c r="H47">
        <v>11.423664250872731</v>
      </c>
      <c r="I47">
        <v>12.180653687302607</v>
      </c>
    </row>
    <row r="48" spans="1:9" x14ac:dyDescent="0.25">
      <c r="A48">
        <v>30</v>
      </c>
      <c r="B48">
        <v>120.99833333333332</v>
      </c>
      <c r="C48">
        <v>130.20260000000002</v>
      </c>
      <c r="D48">
        <v>187.63339999999999</v>
      </c>
      <c r="E48">
        <v>240.334</v>
      </c>
      <c r="F48">
        <v>27.181247518586673</v>
      </c>
      <c r="G48">
        <v>37.842241659288618</v>
      </c>
      <c r="H48">
        <v>21.857296088491832</v>
      </c>
      <c r="I48">
        <v>25.298999999999999</v>
      </c>
    </row>
    <row r="49" spans="1:9" x14ac:dyDescent="0.25">
      <c r="A49">
        <v>50</v>
      </c>
      <c r="B49">
        <v>80.217749999999995</v>
      </c>
      <c r="C49">
        <v>132.62599999999998</v>
      </c>
      <c r="D49">
        <v>188.02</v>
      </c>
      <c r="E49">
        <v>237.78699999999998</v>
      </c>
      <c r="F49">
        <v>16.543255330093544</v>
      </c>
      <c r="G49">
        <v>4.2317770498928748</v>
      </c>
      <c r="H49">
        <v>24.863382714345175</v>
      </c>
      <c r="I49">
        <v>7.3087718986616776</v>
      </c>
    </row>
    <row r="50" spans="1:9" x14ac:dyDescent="0.25">
      <c r="A50">
        <v>100</v>
      </c>
      <c r="C50">
        <v>141.21550000000002</v>
      </c>
      <c r="D50">
        <v>215.48666666666668</v>
      </c>
      <c r="E50">
        <v>242.29666666666668</v>
      </c>
      <c r="G50">
        <v>16.355901962288691</v>
      </c>
      <c r="H50">
        <v>8.321006349394688</v>
      </c>
      <c r="I50">
        <v>19.753203115781901</v>
      </c>
    </row>
    <row r="72" spans="1:11" x14ac:dyDescent="0.25">
      <c r="B72" s="8" t="s">
        <v>22</v>
      </c>
      <c r="C72" s="8"/>
      <c r="D72" s="8"/>
      <c r="E72" s="8"/>
      <c r="F72" s="8"/>
      <c r="G72" s="8" t="s">
        <v>23</v>
      </c>
      <c r="H72" s="8"/>
      <c r="I72" s="8"/>
      <c r="J72" s="8"/>
      <c r="K72" s="8"/>
    </row>
    <row r="73" spans="1:11" x14ac:dyDescent="0.25">
      <c r="B73">
        <v>1</v>
      </c>
      <c r="C73">
        <v>10</v>
      </c>
      <c r="D73">
        <v>30</v>
      </c>
      <c r="E73">
        <v>50</v>
      </c>
      <c r="F73">
        <v>100</v>
      </c>
      <c r="G73">
        <v>1</v>
      </c>
      <c r="H73">
        <v>10</v>
      </c>
      <c r="I73">
        <v>30</v>
      </c>
      <c r="J73">
        <v>50</v>
      </c>
      <c r="K73">
        <v>100</v>
      </c>
    </row>
    <row r="74" spans="1:11" x14ac:dyDescent="0.25">
      <c r="A74">
        <v>0</v>
      </c>
      <c r="B74">
        <v>89.662999999999997</v>
      </c>
      <c r="C74">
        <v>129.715</v>
      </c>
      <c r="D74">
        <v>220.99833333333333</v>
      </c>
      <c r="E74">
        <v>230.21775</v>
      </c>
      <c r="F74">
        <v>274.77499999999998</v>
      </c>
      <c r="G74">
        <v>0.61094025894518011</v>
      </c>
      <c r="H74">
        <v>17.885999999999999</v>
      </c>
      <c r="I74">
        <v>27.181247518586673</v>
      </c>
      <c r="J74">
        <v>16.543255330093544</v>
      </c>
      <c r="K74">
        <v>27.130451535129282</v>
      </c>
    </row>
    <row r="75" spans="1:11" x14ac:dyDescent="0.25">
      <c r="A75">
        <v>10</v>
      </c>
      <c r="B75">
        <v>127.54833333333333</v>
      </c>
      <c r="C75">
        <v>162.2225</v>
      </c>
      <c r="D75">
        <v>180.20260000000002</v>
      </c>
      <c r="E75">
        <v>232.62599999999998</v>
      </c>
      <c r="F75">
        <v>291.21550000000002</v>
      </c>
      <c r="G75">
        <v>30.262661757794415</v>
      </c>
      <c r="H75">
        <v>13.543835928815303</v>
      </c>
      <c r="I75">
        <v>37.842241659288618</v>
      </c>
      <c r="J75">
        <v>4.2317770498928748</v>
      </c>
      <c r="K75">
        <v>16.355901962288691</v>
      </c>
    </row>
    <row r="76" spans="1:11" x14ac:dyDescent="0.25">
      <c r="A76">
        <v>25</v>
      </c>
      <c r="B76">
        <v>116.13166666666666</v>
      </c>
      <c r="C76">
        <v>138.35724999999999</v>
      </c>
      <c r="D76">
        <v>187.63339999999999</v>
      </c>
      <c r="E76">
        <v>238.02</v>
      </c>
      <c r="F76">
        <v>315.48666666666668</v>
      </c>
      <c r="G76">
        <v>14.561364519394079</v>
      </c>
      <c r="H76">
        <v>11.423664250872731</v>
      </c>
      <c r="I76">
        <v>21.857296088491832</v>
      </c>
      <c r="J76">
        <v>24.863382714345175</v>
      </c>
      <c r="K76">
        <v>8.321006349394688</v>
      </c>
    </row>
    <row r="77" spans="1:11" x14ac:dyDescent="0.25">
      <c r="A77">
        <v>50</v>
      </c>
      <c r="C77">
        <v>122.40475000000001</v>
      </c>
      <c r="D77">
        <v>190.334</v>
      </c>
      <c r="E77">
        <v>237.78699999999998</v>
      </c>
      <c r="F77">
        <v>292.29666666666668</v>
      </c>
      <c r="H77">
        <v>12.180999999999999</v>
      </c>
      <c r="I77">
        <v>25.298999999999999</v>
      </c>
      <c r="J77">
        <v>7.3087718986616776</v>
      </c>
      <c r="K77">
        <v>19.753203115781901</v>
      </c>
    </row>
  </sheetData>
  <mergeCells count="2">
    <mergeCell ref="B72:F72"/>
    <mergeCell ref="G72:K72"/>
  </mergeCells>
  <pageMargins left="0.7" right="0.7" top="0.75" bottom="0.75" header="0.3" footer="0.3"/>
  <pageSetup paperSize="9" orientation="portrait" horizontalDpi="4294967292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1"/>
  <sheetViews>
    <sheetView zoomScale="70" zoomScaleNormal="70" workbookViewId="0">
      <selection activeCell="R12" sqref="R12:V15"/>
    </sheetView>
  </sheetViews>
  <sheetFormatPr defaultRowHeight="15" x14ac:dyDescent="0.25"/>
  <cols>
    <col min="4" max="4" width="10.7109375" bestFit="1" customWidth="1"/>
    <col min="6" max="6" width="18" bestFit="1" customWidth="1"/>
    <col min="11" max="11" width="19.28515625" bestFit="1" customWidth="1"/>
    <col min="12" max="12" width="23.140625" bestFit="1" customWidth="1"/>
    <col min="16" max="16" width="22.85546875" bestFit="1" customWidth="1"/>
    <col min="20" max="20" width="10" bestFit="1" customWidth="1"/>
    <col min="21" max="21" width="18" bestFit="1" customWidth="1"/>
  </cols>
  <sheetData>
    <row r="1" spans="1:22" s="4" customFormat="1" x14ac:dyDescent="0.25">
      <c r="B1" s="9" t="s">
        <v>53</v>
      </c>
      <c r="C1" s="9"/>
      <c r="D1" s="9"/>
      <c r="E1" s="5"/>
      <c r="F1" s="5"/>
      <c r="H1" s="4" t="s">
        <v>67</v>
      </c>
      <c r="M1" s="4" t="s">
        <v>68</v>
      </c>
      <c r="R1" s="4" t="s">
        <v>69</v>
      </c>
    </row>
    <row r="2" spans="1:22" x14ac:dyDescent="0.25">
      <c r="B2" t="s">
        <v>64</v>
      </c>
      <c r="C2" t="s">
        <v>65</v>
      </c>
      <c r="D2" t="s">
        <v>66</v>
      </c>
      <c r="E2" t="s">
        <v>22</v>
      </c>
      <c r="F2" t="s">
        <v>23</v>
      </c>
      <c r="G2" t="s">
        <v>64</v>
      </c>
      <c r="H2" t="s">
        <v>65</v>
      </c>
      <c r="I2" t="s">
        <v>66</v>
      </c>
      <c r="J2" t="s">
        <v>22</v>
      </c>
      <c r="K2" t="s">
        <v>23</v>
      </c>
      <c r="L2" t="s">
        <v>64</v>
      </c>
      <c r="M2" t="s">
        <v>65</v>
      </c>
      <c r="N2" t="s">
        <v>66</v>
      </c>
      <c r="O2" t="s">
        <v>22</v>
      </c>
      <c r="P2" t="s">
        <v>23</v>
      </c>
      <c r="Q2" t="s">
        <v>64</v>
      </c>
      <c r="R2" t="s">
        <v>65</v>
      </c>
      <c r="S2" t="s">
        <v>66</v>
      </c>
      <c r="T2" t="s">
        <v>22</v>
      </c>
      <c r="U2" t="s">
        <v>23</v>
      </c>
    </row>
    <row r="3" spans="1:22" x14ac:dyDescent="0.25">
      <c r="A3" s="1">
        <v>0.01</v>
      </c>
      <c r="B3">
        <f>19.652*3.93</f>
        <v>77.232360000000014</v>
      </c>
      <c r="C3">
        <f>18.582*3.93</f>
        <v>73.027260000000012</v>
      </c>
      <c r="D3">
        <f>37.768*3.93</f>
        <v>148.42824000000002</v>
      </c>
      <c r="E3">
        <f>AVERAGE(B3:D3)</f>
        <v>99.562620000000024</v>
      </c>
      <c r="F3">
        <f>STDEV(B3:D3)</f>
        <v>42.371067133018933</v>
      </c>
      <c r="G3">
        <f>36.466*3.93</f>
        <v>143.31138000000001</v>
      </c>
      <c r="H3">
        <f>35.228*3.93</f>
        <v>138.44604000000001</v>
      </c>
      <c r="I3">
        <f>33.606*3.93</f>
        <v>132.07158000000001</v>
      </c>
      <c r="J3">
        <f>AVERAGE(G3:I3)</f>
        <v>137.94300000000001</v>
      </c>
      <c r="K3">
        <f>STDEV(G3:I3)</f>
        <v>5.6367599683860954</v>
      </c>
      <c r="L3">
        <f>36.4661*3.993</f>
        <v>145.60913729999999</v>
      </c>
      <c r="M3">
        <f>35.228*3.93</f>
        <v>138.44604000000001</v>
      </c>
      <c r="N3">
        <f>33.606*3.93</f>
        <v>132.07158000000001</v>
      </c>
      <c r="O3">
        <f>AVERAGE(L3:N3)</f>
        <v>138.7089191</v>
      </c>
      <c r="P3">
        <f>STDEV(L3:N3)</f>
        <v>6.7726061068548979</v>
      </c>
      <c r="Q3">
        <f>3.93*13.421</f>
        <v>52.744529999999997</v>
      </c>
      <c r="R3">
        <f>20.707*3.93</f>
        <v>81.378510000000006</v>
      </c>
      <c r="S3">
        <f>11.586*3.93</f>
        <v>45.532980000000002</v>
      </c>
      <c r="T3">
        <f>AVERAGE(Q3:S3)</f>
        <v>59.885340000000006</v>
      </c>
      <c r="U3">
        <f>STDEV(Q3:S3)</f>
        <v>18.959664576075689</v>
      </c>
    </row>
    <row r="4" spans="1:22" x14ac:dyDescent="0.25">
      <c r="A4" s="1">
        <v>0.1</v>
      </c>
      <c r="B4">
        <f>18.96*3.93</f>
        <v>74.512800000000013</v>
      </c>
      <c r="C4">
        <f>18.699*3.93</f>
        <v>73.487070000000003</v>
      </c>
      <c r="D4">
        <f>16.219*3.93</f>
        <v>63.740670000000009</v>
      </c>
      <c r="E4">
        <f>AVERAGE(B4:D4)</f>
        <v>70.580179999999999</v>
      </c>
      <c r="F4">
        <f>STDEV(B4:D4)</f>
        <v>5.9453514015825846</v>
      </c>
      <c r="G4">
        <f>28.665*3.93</f>
        <v>112.65345000000001</v>
      </c>
      <c r="H4">
        <f>21.096*3.93</f>
        <v>82.90728</v>
      </c>
      <c r="I4">
        <f>29.307*3.93</f>
        <v>115.17650999999999</v>
      </c>
      <c r="J4">
        <f>AVERAGE(G4:I4)</f>
        <v>103.57907999999999</v>
      </c>
      <c r="K4">
        <f>STDEV(G4:I4)</f>
        <v>17.946697310951194</v>
      </c>
      <c r="L4">
        <f>30.449*3.93</f>
        <v>119.66457000000001</v>
      </c>
      <c r="M4">
        <f>18.365*3.93</f>
        <v>72.174449999999993</v>
      </c>
      <c r="N4">
        <f>16.117*3.93</f>
        <v>63.339810000000007</v>
      </c>
      <c r="O4">
        <f>AVERAGE(L4:N4)</f>
        <v>85.059610000000006</v>
      </c>
      <c r="P4">
        <f>STDEV(L4:N4)</f>
        <v>30.292575962331128</v>
      </c>
      <c r="Q4">
        <f>12.051*3.93</f>
        <v>47.360430000000001</v>
      </c>
      <c r="R4">
        <f>13.208*3.93</f>
        <v>51.907440000000001</v>
      </c>
      <c r="S4">
        <f>10.555*3.93</f>
        <v>41.48115</v>
      </c>
      <c r="T4">
        <f>AVERAGE(Q4:S4)</f>
        <v>46.916339999999998</v>
      </c>
      <c r="U4">
        <f>STDEV(Q4:S4)</f>
        <v>5.2273121905143576</v>
      </c>
    </row>
    <row r="5" spans="1:22" x14ac:dyDescent="0.25">
      <c r="A5" s="1">
        <v>0.3</v>
      </c>
      <c r="B5">
        <f>32.293*3.93</f>
        <v>126.91149</v>
      </c>
      <c r="C5">
        <f>33.304*3.93</f>
        <v>130.88472000000002</v>
      </c>
      <c r="D5">
        <f>28.567*3.93</f>
        <v>112.26831</v>
      </c>
      <c r="E5">
        <f>AVERAGE(B5:D5)</f>
        <v>123.35484000000001</v>
      </c>
      <c r="F5">
        <f>STDEV(B5:D5)</f>
        <v>9.8045907481597681</v>
      </c>
      <c r="G5">
        <f>26.492*3.93</f>
        <v>104.11356000000001</v>
      </c>
      <c r="H5">
        <f>27.064*3.93</f>
        <v>106.36152</v>
      </c>
      <c r="I5">
        <f>26.975*3.93</f>
        <v>106.01175000000001</v>
      </c>
      <c r="J5">
        <f>AVERAGE(G5:I5)</f>
        <v>105.49561</v>
      </c>
      <c r="K5">
        <f>STDEV(G5:I5)</f>
        <v>1.2095996920882515</v>
      </c>
      <c r="L5">
        <f>3.93*26.258</f>
        <v>103.19394</v>
      </c>
      <c r="M5">
        <f>26.837*3.93</f>
        <v>105.46941</v>
      </c>
      <c r="N5">
        <f>28.733*3.93</f>
        <v>112.92069000000001</v>
      </c>
      <c r="O5">
        <f>AVERAGE(L5:N5)</f>
        <v>107.19467999999999</v>
      </c>
      <c r="P5">
        <f>STDEV(L5:N5)</f>
        <v>5.0877140073219582</v>
      </c>
      <c r="Q5">
        <f>23.858*3.93</f>
        <v>93.76194000000001</v>
      </c>
      <c r="R5">
        <f>22.201*3.93</f>
        <v>87.249930000000006</v>
      </c>
      <c r="T5">
        <f>AVERAGE(Q5:S5)</f>
        <v>90.505935000000008</v>
      </c>
      <c r="U5">
        <f>STDEV(Q5:S5)</f>
        <v>4.6046864301546115</v>
      </c>
    </row>
    <row r="6" spans="1:22" x14ac:dyDescent="0.25">
      <c r="A6" s="1">
        <v>0.5</v>
      </c>
      <c r="B6">
        <f>3.93*14.442</f>
        <v>56.757060000000003</v>
      </c>
      <c r="C6">
        <f>14.467*3.93</f>
        <v>56.855310000000003</v>
      </c>
      <c r="D6">
        <f>15.785*3.93</f>
        <v>62.035050000000005</v>
      </c>
      <c r="E6">
        <f>AVERAGE(B6:D6)</f>
        <v>58.549140000000001</v>
      </c>
      <c r="F6">
        <f>STDEV(B6:D6)</f>
        <v>3.0192862834948277</v>
      </c>
      <c r="G6">
        <f>16.233*3.93</f>
        <v>63.795690000000008</v>
      </c>
      <c r="H6">
        <f>15.034*3.93</f>
        <v>59.083620000000003</v>
      </c>
      <c r="J6">
        <f>AVERAGE(G6:I6)</f>
        <v>61.439655000000002</v>
      </c>
      <c r="K6">
        <f>STDEV(G6:I6)</f>
        <v>3.331936650425698</v>
      </c>
      <c r="L6">
        <f>11.961*3.93</f>
        <v>47.006730000000005</v>
      </c>
      <c r="M6">
        <f>13.284*3.93</f>
        <v>52.206120000000006</v>
      </c>
      <c r="N6">
        <f>43.425*3.93</f>
        <v>170.66024999999999</v>
      </c>
      <c r="O6">
        <f>AVERAGE(L6:N6)</f>
        <v>89.957700000000003</v>
      </c>
      <c r="P6">
        <f>STDEV(L6:N6)</f>
        <v>69.938791785888739</v>
      </c>
      <c r="Q6">
        <f>25.224*3.93</f>
        <v>99.130320000000012</v>
      </c>
      <c r="R6">
        <f>22.239*3.93</f>
        <v>87.399270000000001</v>
      </c>
      <c r="T6">
        <f>AVERAGE(Q6:S6)</f>
        <v>93.264795000000007</v>
      </c>
      <c r="U6">
        <f>STDEV(Q6:S6)</f>
        <v>8.2951050054384563</v>
      </c>
    </row>
    <row r="7" spans="1:22" x14ac:dyDescent="0.25">
      <c r="A7" s="1">
        <v>1</v>
      </c>
      <c r="B7">
        <f>3.93*21.31</f>
        <v>83.7483</v>
      </c>
      <c r="C7">
        <f>18.441*3.93</f>
        <v>72.473129999999998</v>
      </c>
      <c r="D7">
        <f>3.93*11.279</f>
        <v>44.32647</v>
      </c>
      <c r="E7">
        <f>AVERAGE(B7:D7)</f>
        <v>66.849299999999999</v>
      </c>
      <c r="F7">
        <f>STDEV(B7:C7)</f>
        <v>7.9727491660311269</v>
      </c>
      <c r="G7">
        <f>27.547*3.93</f>
        <v>108.25971000000001</v>
      </c>
      <c r="H7">
        <f>27.25*3.93</f>
        <v>107.0925</v>
      </c>
      <c r="I7">
        <f>30.277*3.93</f>
        <v>118.98861000000001</v>
      </c>
      <c r="J7">
        <f>AVERAGE(G7:I7)</f>
        <v>111.44694</v>
      </c>
      <c r="K7">
        <f>STDEV(G7:I7)</f>
        <v>6.5573000989507886</v>
      </c>
      <c r="L7">
        <f>27.962*3.93</f>
        <v>109.89066</v>
      </c>
      <c r="M7">
        <f>27.404*3.93</f>
        <v>107.69772</v>
      </c>
      <c r="N7">
        <f>29.528*3.93</f>
        <v>116.04504</v>
      </c>
      <c r="O7">
        <f>AVERAGE(L7:N7)</f>
        <v>111.21114</v>
      </c>
      <c r="P7">
        <f>STDEV(L7:N7)</f>
        <v>4.3274921569426317</v>
      </c>
      <c r="Q7">
        <f>26.308*3.93</f>
        <v>103.39044</v>
      </c>
      <c r="R7">
        <f>32.03*3.93</f>
        <v>125.87790000000001</v>
      </c>
      <c r="S7">
        <f>32.905*3.93</f>
        <v>129.31665000000001</v>
      </c>
      <c r="T7">
        <f>AVERAGE(Q7:S7)</f>
        <v>119.52833000000003</v>
      </c>
      <c r="U7">
        <f>STDEV(Q7:S7)</f>
        <v>14.081188537538308</v>
      </c>
    </row>
    <row r="8" spans="1:22" x14ac:dyDescent="0.25">
      <c r="A8" s="1"/>
    </row>
    <row r="9" spans="1:22" x14ac:dyDescent="0.25">
      <c r="C9" s="8" t="s">
        <v>22</v>
      </c>
      <c r="D9" s="8"/>
      <c r="E9" s="8"/>
      <c r="F9" s="8"/>
      <c r="G9" s="8" t="s">
        <v>23</v>
      </c>
      <c r="H9" s="8"/>
      <c r="I9" s="8"/>
      <c r="J9" s="8"/>
    </row>
    <row r="10" spans="1:22" x14ac:dyDescent="0.25">
      <c r="C10" s="1">
        <v>1</v>
      </c>
      <c r="D10" s="4" t="s">
        <v>67</v>
      </c>
      <c r="E10" s="4" t="s">
        <v>68</v>
      </c>
      <c r="F10" s="4" t="s">
        <v>69</v>
      </c>
      <c r="G10" s="1">
        <v>1</v>
      </c>
      <c r="H10" s="4" t="s">
        <v>67</v>
      </c>
      <c r="I10" s="4" t="s">
        <v>68</v>
      </c>
      <c r="J10" s="4" t="s">
        <v>69</v>
      </c>
      <c r="M10" s="8" t="s">
        <v>22</v>
      </c>
      <c r="N10" s="8"/>
      <c r="O10" s="8"/>
      <c r="P10" s="8"/>
      <c r="Q10" s="8"/>
      <c r="R10" s="8" t="s">
        <v>23</v>
      </c>
      <c r="S10" s="8"/>
      <c r="T10" s="8"/>
      <c r="U10" s="8"/>
      <c r="V10" s="8"/>
    </row>
    <row r="11" spans="1:22" x14ac:dyDescent="0.25">
      <c r="B11" s="1">
        <v>0.01</v>
      </c>
      <c r="C11">
        <v>99.562620000000024</v>
      </c>
      <c r="D11">
        <v>137.94300000000001</v>
      </c>
      <c r="E11">
        <v>138.7089191</v>
      </c>
      <c r="F11">
        <v>59.884999999999998</v>
      </c>
      <c r="G11">
        <v>42.371067133018933</v>
      </c>
      <c r="H11">
        <v>5.6367599683860954</v>
      </c>
      <c r="I11">
        <v>6.7726061068548979</v>
      </c>
      <c r="J11">
        <v>18.96</v>
      </c>
      <c r="L11" s="1" t="s">
        <v>55</v>
      </c>
      <c r="M11" s="1">
        <v>0.01</v>
      </c>
      <c r="N11">
        <v>10</v>
      </c>
      <c r="O11">
        <v>30</v>
      </c>
      <c r="P11">
        <v>50</v>
      </c>
      <c r="Q11">
        <v>100</v>
      </c>
      <c r="R11">
        <v>1</v>
      </c>
      <c r="S11">
        <v>10</v>
      </c>
      <c r="T11">
        <v>30</v>
      </c>
      <c r="U11">
        <v>50</v>
      </c>
      <c r="V11">
        <v>100</v>
      </c>
    </row>
    <row r="12" spans="1:22" x14ac:dyDescent="0.25">
      <c r="B12" s="1">
        <v>0.1</v>
      </c>
      <c r="C12">
        <v>70.580179999999999</v>
      </c>
      <c r="D12">
        <v>103.57907999999999</v>
      </c>
      <c r="E12">
        <v>85.059610000000006</v>
      </c>
      <c r="F12">
        <v>46.916339999999998</v>
      </c>
      <c r="G12">
        <v>5.9453514015825846</v>
      </c>
      <c r="H12">
        <v>17.946697310951194</v>
      </c>
      <c r="I12">
        <v>30.292575962331128</v>
      </c>
      <c r="J12">
        <v>5.2273121905143576</v>
      </c>
      <c r="L12" s="6">
        <v>0</v>
      </c>
      <c r="M12">
        <v>99.562620000000024</v>
      </c>
      <c r="N12">
        <v>70.580179999999999</v>
      </c>
      <c r="O12">
        <v>123.35484000000001</v>
      </c>
      <c r="P12">
        <v>58.549140000000001</v>
      </c>
      <c r="Q12">
        <v>66.849000000000004</v>
      </c>
      <c r="R12">
        <v>42.371067133018933</v>
      </c>
      <c r="S12">
        <v>5.9453514015825846</v>
      </c>
      <c r="T12">
        <v>9.8045907481597681</v>
      </c>
      <c r="U12">
        <v>3.0192862834948277</v>
      </c>
      <c r="V12">
        <v>7.9727491660311269</v>
      </c>
    </row>
    <row r="13" spans="1:22" x14ac:dyDescent="0.25">
      <c r="B13" s="1">
        <v>0.3</v>
      </c>
      <c r="C13">
        <v>123.35484000000001</v>
      </c>
      <c r="D13">
        <v>105.49561</v>
      </c>
      <c r="E13">
        <v>107.19467999999999</v>
      </c>
      <c r="F13">
        <v>90.505935000000008</v>
      </c>
      <c r="G13">
        <v>9.8045907481597681</v>
      </c>
      <c r="H13">
        <v>1.2095996920882515</v>
      </c>
      <c r="I13">
        <v>5.0877140073219582</v>
      </c>
      <c r="J13">
        <v>4.6046864301546115</v>
      </c>
      <c r="L13" s="6">
        <v>10</v>
      </c>
      <c r="M13">
        <v>137.94300000000001</v>
      </c>
      <c r="N13">
        <v>103.57907999999999</v>
      </c>
      <c r="O13">
        <v>105.49561</v>
      </c>
      <c r="P13">
        <v>61.439655000000002</v>
      </c>
      <c r="Q13">
        <v>111.44694</v>
      </c>
      <c r="R13">
        <v>5.6367599683860954</v>
      </c>
      <c r="S13">
        <v>17.946697310951194</v>
      </c>
      <c r="T13">
        <v>1.2095996920882515</v>
      </c>
      <c r="U13">
        <v>3.331936650425698</v>
      </c>
      <c r="V13">
        <v>6.5573000989507886</v>
      </c>
    </row>
    <row r="14" spans="1:22" x14ac:dyDescent="0.25">
      <c r="B14" s="1">
        <v>0.5</v>
      </c>
      <c r="C14">
        <v>58.549140000000001</v>
      </c>
      <c r="D14">
        <v>61.439655000000002</v>
      </c>
      <c r="E14">
        <v>89.957700000000003</v>
      </c>
      <c r="F14">
        <v>99.130320000000012</v>
      </c>
      <c r="G14">
        <v>3.0192862834948277</v>
      </c>
      <c r="H14">
        <v>3.331936650425698</v>
      </c>
      <c r="I14">
        <v>69.938791785888739</v>
      </c>
      <c r="J14">
        <v>8.2951050054384563</v>
      </c>
      <c r="L14" s="6">
        <v>25</v>
      </c>
      <c r="M14">
        <v>138.7089191</v>
      </c>
      <c r="N14">
        <v>85.059610000000006</v>
      </c>
      <c r="O14">
        <v>107.19467999999999</v>
      </c>
      <c r="P14">
        <v>89.957700000000003</v>
      </c>
      <c r="Q14">
        <v>111.21114</v>
      </c>
      <c r="R14">
        <v>6.7726061068548979</v>
      </c>
      <c r="S14">
        <v>30.292575962331128</v>
      </c>
      <c r="T14">
        <v>5.0877140073219582</v>
      </c>
      <c r="U14">
        <v>69.938791785888739</v>
      </c>
      <c r="V14">
        <v>4.3274921569426317</v>
      </c>
    </row>
    <row r="15" spans="1:22" x14ac:dyDescent="0.25">
      <c r="B15" s="1">
        <v>1</v>
      </c>
      <c r="C15">
        <v>66.849299999999999</v>
      </c>
      <c r="D15">
        <v>111.44694</v>
      </c>
      <c r="E15">
        <v>111.21114</v>
      </c>
      <c r="F15">
        <v>119.52833000000003</v>
      </c>
      <c r="G15">
        <v>7.9727491660311269</v>
      </c>
      <c r="H15">
        <v>6.5573000989507886</v>
      </c>
      <c r="I15">
        <v>4.3274921569426317</v>
      </c>
      <c r="J15">
        <v>14.081188537538308</v>
      </c>
      <c r="L15" s="6">
        <v>50</v>
      </c>
      <c r="M15">
        <v>59.884999999999998</v>
      </c>
      <c r="N15">
        <v>46.916339999999998</v>
      </c>
      <c r="O15">
        <v>90.505935000000008</v>
      </c>
      <c r="P15">
        <v>99.130320000000012</v>
      </c>
      <c r="Q15">
        <v>119.52833000000003</v>
      </c>
      <c r="R15">
        <v>18.96</v>
      </c>
      <c r="S15">
        <v>5.2273121905143576</v>
      </c>
      <c r="T15">
        <v>4.6046864301546115</v>
      </c>
      <c r="U15">
        <v>8.2951050054384563</v>
      </c>
      <c r="V15">
        <v>14.081188537538308</v>
      </c>
    </row>
    <row r="18" spans="16:21" x14ac:dyDescent="0.25">
      <c r="Q18" s="8" t="s">
        <v>78</v>
      </c>
      <c r="R18" s="8"/>
      <c r="S18" s="8"/>
      <c r="T18" s="8"/>
      <c r="U18" s="8"/>
    </row>
    <row r="19" spans="16:21" x14ac:dyDescent="0.25">
      <c r="P19" s="1" t="s">
        <v>55</v>
      </c>
      <c r="Q19" s="1">
        <v>1</v>
      </c>
      <c r="R19">
        <v>10</v>
      </c>
      <c r="S19">
        <v>30</v>
      </c>
      <c r="T19">
        <v>50</v>
      </c>
      <c r="U19">
        <v>100</v>
      </c>
    </row>
    <row r="20" spans="16:21" x14ac:dyDescent="0.25">
      <c r="P20" s="6">
        <v>0</v>
      </c>
      <c r="Q20" t="s">
        <v>79</v>
      </c>
      <c r="R20">
        <v>70.580179999999999</v>
      </c>
      <c r="S20">
        <v>123.35484000000001</v>
      </c>
      <c r="T20">
        <v>58.549140000000001</v>
      </c>
      <c r="U20">
        <v>66.849000000000004</v>
      </c>
    </row>
    <row r="21" spans="16:21" x14ac:dyDescent="0.25">
      <c r="P21" s="6">
        <v>10</v>
      </c>
      <c r="Q21">
        <v>137.94300000000001</v>
      </c>
      <c r="R21">
        <v>103.57907999999999</v>
      </c>
      <c r="S21">
        <v>105.49561</v>
      </c>
      <c r="T21">
        <v>61.439655000000002</v>
      </c>
      <c r="U21">
        <v>111.44694</v>
      </c>
    </row>
    <row r="22" spans="16:21" x14ac:dyDescent="0.25">
      <c r="P22" s="6">
        <v>25</v>
      </c>
      <c r="Q22">
        <v>138.7089191</v>
      </c>
      <c r="R22">
        <v>85.059610000000006</v>
      </c>
      <c r="S22">
        <v>107.19467999999999</v>
      </c>
      <c r="T22">
        <v>89.957700000000003</v>
      </c>
      <c r="U22">
        <v>111.21114</v>
      </c>
    </row>
    <row r="23" spans="16:21" x14ac:dyDescent="0.25">
      <c r="P23" s="6">
        <v>50</v>
      </c>
      <c r="Q23">
        <v>59.884999999999998</v>
      </c>
      <c r="R23">
        <v>46.916339999999998</v>
      </c>
      <c r="S23">
        <v>90.505935000000008</v>
      </c>
      <c r="T23">
        <v>99.130320000000012</v>
      </c>
      <c r="U23">
        <v>119.52833000000003</v>
      </c>
    </row>
    <row r="35" spans="2:22" x14ac:dyDescent="0.25">
      <c r="C35" s="8" t="s">
        <v>22</v>
      </c>
      <c r="D35" s="8"/>
      <c r="E35" s="8"/>
      <c r="F35" s="8"/>
      <c r="G35" s="8" t="s">
        <v>23</v>
      </c>
      <c r="H35" s="8"/>
      <c r="I35" s="8"/>
      <c r="J35" s="8"/>
      <c r="M35" s="8" t="s">
        <v>22</v>
      </c>
      <c r="N35" s="8"/>
      <c r="O35" s="8"/>
      <c r="P35" s="8"/>
      <c r="Q35" s="8"/>
      <c r="R35" s="8" t="s">
        <v>23</v>
      </c>
      <c r="S35" s="8"/>
      <c r="T35" s="8"/>
      <c r="U35" s="8"/>
      <c r="V35" s="8"/>
    </row>
    <row r="36" spans="2:22" x14ac:dyDescent="0.25">
      <c r="C36" s="1">
        <v>0</v>
      </c>
      <c r="D36" s="4" t="s">
        <v>75</v>
      </c>
      <c r="E36" s="4" t="s">
        <v>76</v>
      </c>
      <c r="F36" s="4" t="s">
        <v>77</v>
      </c>
      <c r="G36" s="1">
        <v>1</v>
      </c>
      <c r="H36" s="4" t="s">
        <v>67</v>
      </c>
      <c r="I36" s="4" t="s">
        <v>68</v>
      </c>
      <c r="J36" s="4" t="s">
        <v>69</v>
      </c>
      <c r="L36" s="1"/>
      <c r="M36" s="1">
        <v>0.01</v>
      </c>
      <c r="N36">
        <v>10</v>
      </c>
      <c r="O36">
        <v>30</v>
      </c>
      <c r="P36">
        <v>50</v>
      </c>
      <c r="Q36">
        <v>100</v>
      </c>
      <c r="R36">
        <v>1</v>
      </c>
      <c r="S36">
        <v>10</v>
      </c>
      <c r="T36">
        <v>30</v>
      </c>
      <c r="U36">
        <v>50</v>
      </c>
      <c r="V36">
        <v>100</v>
      </c>
    </row>
    <row r="37" spans="2:22" x14ac:dyDescent="0.25">
      <c r="B37" s="1">
        <v>0.01</v>
      </c>
      <c r="C37">
        <v>99.562620000000024</v>
      </c>
      <c r="D37">
        <v>187.94300000000001</v>
      </c>
      <c r="E37">
        <v>238.7089191</v>
      </c>
      <c r="F37">
        <f>209.885+50</f>
        <v>259.88499999999999</v>
      </c>
      <c r="G37">
        <v>42.371067133018933</v>
      </c>
      <c r="H37">
        <v>5.6367599683860954</v>
      </c>
      <c r="I37">
        <v>6.7726061068548979</v>
      </c>
      <c r="J37">
        <v>18.96</v>
      </c>
      <c r="L37" s="6">
        <v>0</v>
      </c>
      <c r="M37">
        <v>99.562620000000024</v>
      </c>
      <c r="N37">
        <v>170.58017999999998</v>
      </c>
      <c r="O37">
        <v>273.35484000000002</v>
      </c>
      <c r="P37">
        <v>308.54914000000002</v>
      </c>
      <c r="Q37">
        <v>366.84899999999999</v>
      </c>
      <c r="R37">
        <v>42.371067133018933</v>
      </c>
      <c r="S37">
        <v>5.9453514015825846</v>
      </c>
      <c r="T37">
        <v>9.8045907481597681</v>
      </c>
      <c r="U37">
        <v>3.0192862834948277</v>
      </c>
      <c r="V37">
        <v>7.9727491660311269</v>
      </c>
    </row>
    <row r="38" spans="2:22" x14ac:dyDescent="0.25">
      <c r="B38" s="1">
        <v>0.1</v>
      </c>
      <c r="C38">
        <v>70.580179999999999</v>
      </c>
      <c r="D38">
        <v>153.57907999999998</v>
      </c>
      <c r="E38">
        <v>185.05961000000002</v>
      </c>
      <c r="F38">
        <f>196.91634+50</f>
        <v>246.91633999999999</v>
      </c>
      <c r="G38">
        <v>5.9453514015825846</v>
      </c>
      <c r="H38">
        <v>17.946697310951194</v>
      </c>
      <c r="I38">
        <v>30.292575962331128</v>
      </c>
      <c r="J38">
        <v>5.2273121905143576</v>
      </c>
      <c r="L38" s="6">
        <v>10</v>
      </c>
      <c r="M38">
        <v>137.94300000000001</v>
      </c>
      <c r="N38">
        <v>203.57907999999998</v>
      </c>
      <c r="O38">
        <v>255.49561</v>
      </c>
      <c r="P38">
        <v>311.43965500000002</v>
      </c>
      <c r="Q38">
        <v>411.44693999999998</v>
      </c>
      <c r="R38">
        <v>5.6367599683860954</v>
      </c>
      <c r="S38">
        <v>17.946697310951194</v>
      </c>
      <c r="T38">
        <v>1.2095996920882515</v>
      </c>
      <c r="U38">
        <v>3.331936650425698</v>
      </c>
      <c r="V38">
        <v>6.5573000989507886</v>
      </c>
    </row>
    <row r="39" spans="2:22" x14ac:dyDescent="0.25">
      <c r="B39" s="1">
        <v>0.3</v>
      </c>
      <c r="C39">
        <v>123.35484000000001</v>
      </c>
      <c r="D39">
        <v>155.49561</v>
      </c>
      <c r="E39">
        <v>207.19468000000001</v>
      </c>
      <c r="F39">
        <f>240.505935+50</f>
        <v>290.50593500000002</v>
      </c>
      <c r="G39">
        <v>9.8045907481597681</v>
      </c>
      <c r="H39">
        <v>1.2095996920882515</v>
      </c>
      <c r="I39">
        <v>5.0877140073219582</v>
      </c>
      <c r="J39">
        <v>4.6046864301546115</v>
      </c>
      <c r="L39" s="6">
        <v>25</v>
      </c>
      <c r="M39">
        <v>138.7089191</v>
      </c>
      <c r="N39">
        <v>185.05961000000002</v>
      </c>
      <c r="O39">
        <v>257.19468000000001</v>
      </c>
      <c r="P39">
        <v>339.95769999999999</v>
      </c>
      <c r="Q39">
        <v>411.21114</v>
      </c>
      <c r="R39">
        <v>6.7726061068548979</v>
      </c>
      <c r="S39">
        <v>30.292575962331128</v>
      </c>
      <c r="T39">
        <v>5.0877140073219582</v>
      </c>
      <c r="U39">
        <v>69.938791785888739</v>
      </c>
      <c r="V39">
        <v>4.3274921569426317</v>
      </c>
    </row>
    <row r="40" spans="2:22" x14ac:dyDescent="0.25">
      <c r="B40" s="1">
        <v>0.5</v>
      </c>
      <c r="C40">
        <v>58.549140000000001</v>
      </c>
      <c r="D40">
        <v>111.439655</v>
      </c>
      <c r="E40">
        <v>189.95769999999999</v>
      </c>
      <c r="F40">
        <f>249.13032+50</f>
        <v>299.13031999999998</v>
      </c>
      <c r="G40">
        <v>3.0192862834948277</v>
      </c>
      <c r="H40">
        <v>3.331936650425698</v>
      </c>
      <c r="I40">
        <v>69.938791785888739</v>
      </c>
      <c r="J40">
        <v>8.2951050054384563</v>
      </c>
      <c r="L40" s="6">
        <v>50</v>
      </c>
      <c r="M40">
        <v>59.884999999999998</v>
      </c>
      <c r="N40">
        <v>146.91633999999999</v>
      </c>
      <c r="O40">
        <v>240.50593500000002</v>
      </c>
      <c r="P40">
        <v>349.13031999999998</v>
      </c>
      <c r="Q40">
        <v>419.52833000000004</v>
      </c>
      <c r="R40">
        <v>18.96</v>
      </c>
      <c r="S40">
        <v>5.2273121905143576</v>
      </c>
      <c r="T40">
        <v>4.6046864301546115</v>
      </c>
      <c r="U40">
        <v>8.2951050054384563</v>
      </c>
      <c r="V40">
        <v>14.081188537538308</v>
      </c>
    </row>
    <row r="41" spans="2:22" x14ac:dyDescent="0.25">
      <c r="B41" s="1">
        <v>1</v>
      </c>
      <c r="C41">
        <v>66.849299999999999</v>
      </c>
      <c r="D41">
        <v>161.44693999999998</v>
      </c>
      <c r="E41">
        <v>211.21114</v>
      </c>
      <c r="F41">
        <f>269.52833+50</f>
        <v>319.52832999999998</v>
      </c>
      <c r="G41">
        <v>7.9727491660311269</v>
      </c>
      <c r="H41">
        <v>6.5573000989507886</v>
      </c>
      <c r="I41">
        <v>4.3274921569426317</v>
      </c>
      <c r="J41">
        <v>14.081188537538308</v>
      </c>
    </row>
  </sheetData>
  <mergeCells count="10">
    <mergeCell ref="C35:F35"/>
    <mergeCell ref="G35:J35"/>
    <mergeCell ref="M35:Q35"/>
    <mergeCell ref="R35:V35"/>
    <mergeCell ref="B1:D1"/>
    <mergeCell ref="C9:F9"/>
    <mergeCell ref="G9:J9"/>
    <mergeCell ref="M10:Q10"/>
    <mergeCell ref="R10:V10"/>
    <mergeCell ref="Q18:U18"/>
  </mergeCell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5"/>
  <sheetViews>
    <sheetView tabSelected="1" topLeftCell="B1" zoomScale="66" zoomScaleNormal="66" workbookViewId="0">
      <selection activeCell="R12" sqref="R12:V15"/>
    </sheetView>
  </sheetViews>
  <sheetFormatPr defaultRowHeight="15" x14ac:dyDescent="0.25"/>
  <cols>
    <col min="6" max="6" width="18" bestFit="1" customWidth="1"/>
    <col min="11" max="11" width="18" bestFit="1" customWidth="1"/>
    <col min="12" max="12" width="22.85546875" bestFit="1" customWidth="1"/>
    <col min="16" max="16" width="18" bestFit="1" customWidth="1"/>
    <col min="18" max="18" width="21" bestFit="1" customWidth="1"/>
    <col min="20" max="20" width="12" bestFit="1" customWidth="1"/>
    <col min="21" max="21" width="18" bestFit="1" customWidth="1"/>
  </cols>
  <sheetData>
    <row r="1" spans="1:22" x14ac:dyDescent="0.25">
      <c r="A1" s="4"/>
      <c r="B1" s="9" t="s">
        <v>53</v>
      </c>
      <c r="C1" s="9"/>
      <c r="D1" s="9"/>
      <c r="E1" s="5"/>
      <c r="F1" s="5"/>
      <c r="G1" s="4"/>
      <c r="H1" s="4" t="s">
        <v>67</v>
      </c>
      <c r="I1" s="4"/>
      <c r="J1" s="4"/>
      <c r="K1" s="4"/>
      <c r="L1" s="4"/>
      <c r="M1" s="4" t="s">
        <v>68</v>
      </c>
      <c r="N1" s="4"/>
      <c r="O1" s="4"/>
      <c r="P1" s="4"/>
      <c r="Q1" s="4"/>
      <c r="R1" s="4" t="s">
        <v>69</v>
      </c>
      <c r="S1" s="4"/>
    </row>
    <row r="2" spans="1:22" x14ac:dyDescent="0.25">
      <c r="B2" t="s">
        <v>64</v>
      </c>
      <c r="C2" t="s">
        <v>65</v>
      </c>
      <c r="D2" t="s">
        <v>66</v>
      </c>
      <c r="E2" t="s">
        <v>22</v>
      </c>
      <c r="F2" t="s">
        <v>23</v>
      </c>
      <c r="G2" t="s">
        <v>64</v>
      </c>
      <c r="H2" t="s">
        <v>65</v>
      </c>
      <c r="I2" t="s">
        <v>66</v>
      </c>
      <c r="J2" t="s">
        <v>22</v>
      </c>
      <c r="K2" t="s">
        <v>23</v>
      </c>
      <c r="L2" t="s">
        <v>64</v>
      </c>
      <c r="M2" t="s">
        <v>65</v>
      </c>
      <c r="N2" t="s">
        <v>66</v>
      </c>
      <c r="O2" t="s">
        <v>22</v>
      </c>
      <c r="P2" t="s">
        <v>23</v>
      </c>
      <c r="Q2" t="s">
        <v>64</v>
      </c>
      <c r="R2" t="s">
        <v>65</v>
      </c>
      <c r="S2" t="s">
        <v>66</v>
      </c>
      <c r="T2" t="s">
        <v>22</v>
      </c>
      <c r="U2" t="s">
        <v>23</v>
      </c>
    </row>
    <row r="3" spans="1:22" x14ac:dyDescent="0.25">
      <c r="A3" s="1">
        <v>0.01</v>
      </c>
      <c r="B3">
        <f>100-12.103</f>
        <v>87.897000000000006</v>
      </c>
      <c r="C3">
        <f>100-14.336</f>
        <v>85.664000000000001</v>
      </c>
      <c r="D3">
        <f>100-9.329</f>
        <v>90.670999999999992</v>
      </c>
      <c r="E3">
        <f>AVERAGE(B3:D3)</f>
        <v>88.077333333333328</v>
      </c>
      <c r="F3">
        <f>STDEV(B3:D3)</f>
        <v>2.5083664671122734</v>
      </c>
      <c r="G3">
        <f>100-7.958</f>
        <v>92.042000000000002</v>
      </c>
      <c r="H3">
        <f>100-8.542</f>
        <v>91.457999999999998</v>
      </c>
      <c r="I3">
        <f>100-8.304</f>
        <v>91.695999999999998</v>
      </c>
      <c r="J3">
        <f>AVERAGE(G3:I3)</f>
        <v>91.732000000000014</v>
      </c>
      <c r="K3">
        <f>STDEV(G3:I3)</f>
        <v>0.29365966696160539</v>
      </c>
      <c r="L3">
        <f>100-7.956</f>
        <v>92.043999999999997</v>
      </c>
      <c r="M3">
        <f>100-8.525</f>
        <v>91.474999999999994</v>
      </c>
      <c r="N3">
        <f>100-8.304</f>
        <v>91.695999999999998</v>
      </c>
      <c r="O3">
        <f>AVERAGE(L3:N3)</f>
        <v>91.738333333333344</v>
      </c>
      <c r="P3">
        <f>STDEV(L3:N3)</f>
        <v>0.28685245917254043</v>
      </c>
      <c r="Q3">
        <f>100-19.816</f>
        <v>80.183999999999997</v>
      </c>
      <c r="R3">
        <f>100-16.251</f>
        <v>83.748999999999995</v>
      </c>
      <c r="S3">
        <f>100-21.03</f>
        <v>78.97</v>
      </c>
      <c r="T3">
        <f>AVERAGE(Q3:S3)</f>
        <v>80.967666666666659</v>
      </c>
      <c r="U3">
        <f>STDEV(Q3:S3)</f>
        <v>2.4840109366372212</v>
      </c>
    </row>
    <row r="4" spans="1:22" x14ac:dyDescent="0.25">
      <c r="A4" s="1">
        <v>0.1</v>
      </c>
      <c r="B4">
        <f>100-11.987</f>
        <v>88.013000000000005</v>
      </c>
      <c r="C4">
        <f>100-12.405</f>
        <v>87.594999999999999</v>
      </c>
      <c r="D4">
        <f>100-13.577</f>
        <v>86.423000000000002</v>
      </c>
      <c r="E4">
        <f>AVERAGE(B4:D4)</f>
        <v>87.343666666666664</v>
      </c>
      <c r="F4">
        <f>STDEV(B4:D4)</f>
        <v>0.82425805020838883</v>
      </c>
      <c r="G4">
        <f>100-14.593</f>
        <v>85.406999999999996</v>
      </c>
      <c r="H4">
        <f>100-11.643</f>
        <v>88.356999999999999</v>
      </c>
      <c r="I4">
        <f>100-15.512</f>
        <v>84.488</v>
      </c>
      <c r="J4">
        <f>AVERAGE(G4:I4)</f>
        <v>86.084000000000003</v>
      </c>
      <c r="K4">
        <f>STDEV(G4:I4)</f>
        <v>2.0213948154677754</v>
      </c>
      <c r="L4">
        <f>100-10.114</f>
        <v>89.885999999999996</v>
      </c>
      <c r="M4">
        <f>100-15.125</f>
        <v>84.875</v>
      </c>
      <c r="N4">
        <f>100-18.763</f>
        <v>81.236999999999995</v>
      </c>
      <c r="O4">
        <f>AVERAGE(L4:N4)</f>
        <v>85.332666666666668</v>
      </c>
      <c r="P4">
        <f>STDEV(L4:N4)</f>
        <v>4.3426252812478925</v>
      </c>
      <c r="Q4">
        <f>100-19.592</f>
        <v>80.408000000000001</v>
      </c>
      <c r="R4">
        <f>100-16.789</f>
        <v>83.210999999999999</v>
      </c>
      <c r="S4">
        <f>100-20.837</f>
        <v>79.162999999999997</v>
      </c>
      <c r="T4">
        <f>AVERAGE(Q4:S4)</f>
        <v>80.927333333333323</v>
      </c>
      <c r="U4">
        <f>STDEV(Q4:S4)</f>
        <v>2.0733683544737858</v>
      </c>
    </row>
    <row r="5" spans="1:22" x14ac:dyDescent="0.25">
      <c r="A5" s="1">
        <v>0.3</v>
      </c>
      <c r="B5">
        <f>100-6.786</f>
        <v>93.213999999999999</v>
      </c>
      <c r="C5">
        <f>100-7.702</f>
        <v>92.298000000000002</v>
      </c>
      <c r="D5">
        <f>100-8.632</f>
        <v>91.367999999999995</v>
      </c>
      <c r="E5">
        <f>AVERAGE(B5:D5)</f>
        <v>92.293333333333337</v>
      </c>
      <c r="F5">
        <f>STDEV(B5:D5)</f>
        <v>0.92300884791714577</v>
      </c>
      <c r="G5">
        <f>100-9.202</f>
        <v>90.798000000000002</v>
      </c>
      <c r="H5">
        <f>100-8.642</f>
        <v>91.358000000000004</v>
      </c>
      <c r="I5">
        <f>100-8.672</f>
        <v>91.328000000000003</v>
      </c>
      <c r="J5">
        <f>AVERAGE(G5:I5)</f>
        <v>91.161333333333346</v>
      </c>
      <c r="K5">
        <f>STDEV(G5:I5)</f>
        <v>0.31501322723551461</v>
      </c>
      <c r="L5">
        <f>100-9.55</f>
        <v>90.45</v>
      </c>
      <c r="M5">
        <f>100-9.945</f>
        <v>90.055000000000007</v>
      </c>
      <c r="N5">
        <f>100-9.483</f>
        <v>90.516999999999996</v>
      </c>
      <c r="O5">
        <f>AVERAGE(L5:N5)</f>
        <v>90.340666666666664</v>
      </c>
      <c r="P5">
        <f>STDEV(L5:N5)</f>
        <v>0.24965242504997018</v>
      </c>
      <c r="Q5">
        <f>100-9.93</f>
        <v>90.07</v>
      </c>
      <c r="R5">
        <f>100-10.769</f>
        <v>89.230999999999995</v>
      </c>
      <c r="T5">
        <f>AVERAGE(Q5:S5)</f>
        <v>89.650499999999994</v>
      </c>
      <c r="U5">
        <f>STDEV(Q5:S5)</f>
        <v>0.59326258941551235</v>
      </c>
    </row>
    <row r="6" spans="1:22" x14ac:dyDescent="0.25">
      <c r="A6" s="1">
        <v>0.5</v>
      </c>
      <c r="B6">
        <f>100-17.482</f>
        <v>82.518000000000001</v>
      </c>
      <c r="C6">
        <f>100-16.556</f>
        <v>83.444000000000003</v>
      </c>
      <c r="D6">
        <f>100-15.038</f>
        <v>84.962000000000003</v>
      </c>
      <c r="E6">
        <f>AVERAGE(B6:D6)</f>
        <v>83.641333333333321</v>
      </c>
      <c r="F6">
        <f>STDEV(B6:D6)</f>
        <v>1.2338919455662787</v>
      </c>
      <c r="G6">
        <f>100-14.553</f>
        <v>85.447000000000003</v>
      </c>
      <c r="H6">
        <f>100-15.201</f>
        <v>84.799000000000007</v>
      </c>
      <c r="J6">
        <f>AVERAGE(G6:I6)</f>
        <v>85.123000000000005</v>
      </c>
      <c r="K6">
        <f>STDEV(G6:I6)</f>
        <v>0.45820519420888006</v>
      </c>
      <c r="L6">
        <f>100-15.899</f>
        <v>84.100999999999999</v>
      </c>
      <c r="M6">
        <f>100-14.889</f>
        <v>85.111000000000004</v>
      </c>
      <c r="N6">
        <f>100-9.562</f>
        <v>90.438000000000002</v>
      </c>
      <c r="O6">
        <f>AVERAGE(L6:N6)</f>
        <v>86.55</v>
      </c>
      <c r="P6">
        <f>STDEV(L6:N6)</f>
        <v>3.4047662181124867</v>
      </c>
      <c r="Q6">
        <f>100-13.553</f>
        <v>86.447000000000003</v>
      </c>
      <c r="R6">
        <f>100-12.95</f>
        <v>87.05</v>
      </c>
      <c r="S6">
        <f>100-10.827</f>
        <v>89.173000000000002</v>
      </c>
      <c r="T6">
        <f>AVERAGE(Q6:S6)</f>
        <v>87.556666666666672</v>
      </c>
      <c r="U6">
        <f>STDEV(Q6:S6)</f>
        <v>1.4318876818149302</v>
      </c>
    </row>
    <row r="7" spans="1:22" x14ac:dyDescent="0.25">
      <c r="A7" s="1">
        <v>1</v>
      </c>
      <c r="B7">
        <f>100-15.146</f>
        <v>84.853999999999999</v>
      </c>
      <c r="C7">
        <f>100-12</f>
        <v>88</v>
      </c>
      <c r="D7">
        <f>100-21.154</f>
        <v>78.846000000000004</v>
      </c>
      <c r="E7">
        <f>AVERAGE(B7:D7)</f>
        <v>83.899999999999991</v>
      </c>
      <c r="F7">
        <f>STDEV(B7:D7)</f>
        <v>4.6509693613267311</v>
      </c>
      <c r="G7">
        <f>100-8.266</f>
        <v>91.733999999999995</v>
      </c>
      <c r="H7">
        <f>100-8.692</f>
        <v>91.307999999999993</v>
      </c>
      <c r="I7">
        <f>100-7.669</f>
        <v>92.331000000000003</v>
      </c>
      <c r="J7">
        <f>AVERAGE(G7:I7)</f>
        <v>91.790999999999997</v>
      </c>
      <c r="K7">
        <f>STDEV(G7:I7)</f>
        <v>0.51387644429376744</v>
      </c>
      <c r="L7">
        <f>100-8.347</f>
        <v>91.653000000000006</v>
      </c>
      <c r="M7">
        <f>100-8.541</f>
        <v>91.459000000000003</v>
      </c>
      <c r="N7">
        <f>100-7.852</f>
        <v>92.147999999999996</v>
      </c>
      <c r="O7">
        <f>AVERAGE(L7:N7)</f>
        <v>91.75333333333333</v>
      </c>
      <c r="P7">
        <f>STDEV(L7:N7)</f>
        <v>0.35528908417418381</v>
      </c>
      <c r="Q7">
        <f>100-9.351</f>
        <v>90.649000000000001</v>
      </c>
      <c r="R7">
        <f>100-7.329</f>
        <v>92.671000000000006</v>
      </c>
      <c r="S7">
        <f>100-6.921</f>
        <v>93.078999999999994</v>
      </c>
      <c r="T7">
        <f>AVERAGE(Q7:S7)</f>
        <v>92.132999999999996</v>
      </c>
      <c r="U7">
        <f>STDEV(Q7:S7)</f>
        <v>1.3012716856982618</v>
      </c>
    </row>
    <row r="9" spans="1:22" x14ac:dyDescent="0.25">
      <c r="C9" s="8" t="s">
        <v>22</v>
      </c>
      <c r="D9" s="8"/>
      <c r="E9" s="8"/>
      <c r="F9" s="8"/>
      <c r="G9" s="8" t="s">
        <v>23</v>
      </c>
      <c r="H9" s="8"/>
      <c r="I9" s="8"/>
      <c r="J9" s="8"/>
    </row>
    <row r="10" spans="1:22" x14ac:dyDescent="0.25">
      <c r="C10" s="1">
        <v>1</v>
      </c>
      <c r="D10" s="4" t="s">
        <v>67</v>
      </c>
      <c r="E10" s="4" t="s">
        <v>68</v>
      </c>
      <c r="F10" s="4" t="s">
        <v>69</v>
      </c>
      <c r="G10" s="1">
        <v>1</v>
      </c>
      <c r="H10" s="4" t="s">
        <v>67</v>
      </c>
      <c r="I10" s="4" t="s">
        <v>68</v>
      </c>
      <c r="J10" s="4" t="s">
        <v>69</v>
      </c>
      <c r="M10" s="8" t="s">
        <v>22</v>
      </c>
      <c r="N10" s="8"/>
      <c r="O10" s="8"/>
      <c r="P10" s="8"/>
      <c r="Q10" s="8"/>
      <c r="R10" s="8" t="s">
        <v>23</v>
      </c>
      <c r="S10" s="8"/>
      <c r="T10" s="8"/>
      <c r="U10" s="8"/>
      <c r="V10" s="8"/>
    </row>
    <row r="11" spans="1:22" x14ac:dyDescent="0.25">
      <c r="B11" s="1">
        <v>0.01</v>
      </c>
      <c r="C11">
        <v>88.077333333333328</v>
      </c>
      <c r="D11">
        <v>91.732000000000014</v>
      </c>
      <c r="E11">
        <v>91.738333333333344</v>
      </c>
      <c r="F11">
        <v>80.968000000000004</v>
      </c>
      <c r="G11">
        <v>2.5083664671122734</v>
      </c>
      <c r="H11">
        <v>0.29365966696160539</v>
      </c>
      <c r="I11">
        <v>0.28685245917254043</v>
      </c>
      <c r="J11">
        <v>2.484</v>
      </c>
      <c r="L11" s="1" t="s">
        <v>55</v>
      </c>
      <c r="M11" s="1">
        <v>0.01</v>
      </c>
      <c r="N11">
        <v>10</v>
      </c>
      <c r="O11">
        <v>30</v>
      </c>
      <c r="P11">
        <v>50</v>
      </c>
      <c r="Q11">
        <v>100</v>
      </c>
      <c r="R11">
        <v>1</v>
      </c>
      <c r="S11">
        <v>10</v>
      </c>
      <c r="T11">
        <v>30</v>
      </c>
      <c r="U11">
        <v>50</v>
      </c>
      <c r="V11">
        <v>100</v>
      </c>
    </row>
    <row r="12" spans="1:22" x14ac:dyDescent="0.25">
      <c r="B12" s="1">
        <v>0.1</v>
      </c>
      <c r="C12">
        <v>87.343666666666664</v>
      </c>
      <c r="D12">
        <v>86.084000000000003</v>
      </c>
      <c r="E12">
        <v>85.332666666666668</v>
      </c>
      <c r="F12">
        <v>80.927333333333323</v>
      </c>
      <c r="G12">
        <v>0.82425805020838883</v>
      </c>
      <c r="H12">
        <v>2.0213948154677754</v>
      </c>
      <c r="I12">
        <v>4.3426252812478925</v>
      </c>
      <c r="J12">
        <v>2.0733683544737858</v>
      </c>
      <c r="L12" s="7">
        <v>0</v>
      </c>
      <c r="M12">
        <v>88.076999999999998</v>
      </c>
      <c r="N12">
        <v>87.343000000000004</v>
      </c>
      <c r="O12">
        <v>92.293000000000006</v>
      </c>
      <c r="P12">
        <v>83.641000000000005</v>
      </c>
      <c r="Q12">
        <v>83.9</v>
      </c>
      <c r="R12">
        <v>2.5084</v>
      </c>
      <c r="S12">
        <v>0.82430000000000003</v>
      </c>
      <c r="T12">
        <v>0.92300000000000004</v>
      </c>
      <c r="U12">
        <v>1.2339</v>
      </c>
      <c r="V12">
        <v>4.6509999999999998</v>
      </c>
    </row>
    <row r="13" spans="1:22" x14ac:dyDescent="0.25">
      <c r="B13" s="1">
        <v>0.3</v>
      </c>
      <c r="C13">
        <v>92.293333333333337</v>
      </c>
      <c r="D13">
        <v>91.161333333333346</v>
      </c>
      <c r="E13">
        <v>90.340666666666664</v>
      </c>
      <c r="F13">
        <v>89.650499999999994</v>
      </c>
      <c r="G13">
        <v>0.92300884791714577</v>
      </c>
      <c r="H13">
        <v>0.31501322723551461</v>
      </c>
      <c r="I13">
        <v>0.24965242504997018</v>
      </c>
      <c r="J13">
        <v>0.59326258941551235</v>
      </c>
      <c r="L13" s="7">
        <v>10</v>
      </c>
      <c r="M13">
        <v>91.73</v>
      </c>
      <c r="N13">
        <v>86.084000000000003</v>
      </c>
      <c r="O13">
        <v>91.161000000000001</v>
      </c>
      <c r="P13">
        <v>85.123000000000005</v>
      </c>
      <c r="Q13">
        <v>91.790999999999997</v>
      </c>
      <c r="R13">
        <v>0.29370000000000002</v>
      </c>
      <c r="S13">
        <v>2.0213999999999999</v>
      </c>
      <c r="T13">
        <v>0.315</v>
      </c>
      <c r="U13">
        <v>0.4582</v>
      </c>
      <c r="V13">
        <v>0.51390000000000002</v>
      </c>
    </row>
    <row r="14" spans="1:22" x14ac:dyDescent="0.25">
      <c r="B14" s="1">
        <v>0.5</v>
      </c>
      <c r="C14">
        <v>83.641333333333321</v>
      </c>
      <c r="D14">
        <v>85.123000000000005</v>
      </c>
      <c r="E14">
        <v>86.55</v>
      </c>
      <c r="F14">
        <v>87.556666666666672</v>
      </c>
      <c r="G14">
        <v>1.2338919455662787</v>
      </c>
      <c r="H14">
        <v>0.45820519420888006</v>
      </c>
      <c r="I14">
        <v>3.4047662181124867</v>
      </c>
      <c r="J14">
        <v>1.4318876818149302</v>
      </c>
      <c r="L14" s="7">
        <v>25</v>
      </c>
      <c r="M14">
        <v>91.73</v>
      </c>
      <c r="N14">
        <v>85.332999999999998</v>
      </c>
      <c r="O14">
        <v>90.340999999999994</v>
      </c>
      <c r="P14">
        <v>86.55</v>
      </c>
      <c r="Q14">
        <v>91.753</v>
      </c>
      <c r="R14">
        <v>0.28689999999999999</v>
      </c>
      <c r="S14">
        <v>4.3426</v>
      </c>
      <c r="T14">
        <v>0.24970000000000001</v>
      </c>
      <c r="U14">
        <v>3.4047999999999998</v>
      </c>
      <c r="V14">
        <v>0.3553</v>
      </c>
    </row>
    <row r="15" spans="1:22" x14ac:dyDescent="0.25">
      <c r="B15" s="1">
        <v>1</v>
      </c>
      <c r="C15">
        <v>83.899999999999991</v>
      </c>
      <c r="D15">
        <v>91.790999999999997</v>
      </c>
      <c r="E15">
        <v>91.75333333333333</v>
      </c>
      <c r="F15">
        <v>92.132999999999996</v>
      </c>
      <c r="G15">
        <v>4.6509693613267311</v>
      </c>
      <c r="H15">
        <v>0.51387644429376744</v>
      </c>
      <c r="I15">
        <v>0.35528908417418381</v>
      </c>
      <c r="J15">
        <v>1.3012716856982618</v>
      </c>
      <c r="L15" s="7">
        <v>50</v>
      </c>
      <c r="M15">
        <v>80.968000000000004</v>
      </c>
      <c r="N15">
        <v>80.927000000000007</v>
      </c>
      <c r="O15">
        <v>89.650999999999996</v>
      </c>
      <c r="P15">
        <v>87.557000000000002</v>
      </c>
      <c r="Q15">
        <v>92.132999999999996</v>
      </c>
      <c r="R15">
        <v>2.484</v>
      </c>
      <c r="S15">
        <v>2.0733999999999999</v>
      </c>
      <c r="T15">
        <v>0.59330000000000005</v>
      </c>
      <c r="U15">
        <v>1.4319</v>
      </c>
      <c r="V15">
        <v>1.3012999999999999</v>
      </c>
    </row>
    <row r="17" spans="18:28" x14ac:dyDescent="0.25">
      <c r="X17" s="8" t="s">
        <v>23</v>
      </c>
      <c r="Y17" s="8"/>
      <c r="Z17" s="8"/>
      <c r="AA17" s="8"/>
      <c r="AB17" s="8"/>
    </row>
    <row r="18" spans="18:28" x14ac:dyDescent="0.25">
      <c r="R18" s="1" t="s">
        <v>55</v>
      </c>
      <c r="S18" s="1">
        <v>0.01</v>
      </c>
      <c r="T18">
        <v>10</v>
      </c>
      <c r="U18">
        <v>30</v>
      </c>
      <c r="V18">
        <v>50</v>
      </c>
      <c r="W18">
        <v>100</v>
      </c>
      <c r="X18">
        <v>1</v>
      </c>
      <c r="Y18">
        <v>10</v>
      </c>
      <c r="Z18">
        <v>30</v>
      </c>
      <c r="AA18">
        <v>50</v>
      </c>
      <c r="AB18">
        <v>100</v>
      </c>
    </row>
    <row r="19" spans="18:28" x14ac:dyDescent="0.25">
      <c r="R19" s="7">
        <v>0</v>
      </c>
      <c r="S19">
        <v>88.076999999999998</v>
      </c>
      <c r="T19">
        <v>107.343</v>
      </c>
      <c r="U19">
        <v>132.29300000000001</v>
      </c>
      <c r="V19">
        <v>143.64100000000002</v>
      </c>
      <c r="W19">
        <v>163.9</v>
      </c>
      <c r="X19">
        <v>2.5084</v>
      </c>
      <c r="Y19">
        <v>0.82430000000000003</v>
      </c>
      <c r="Z19">
        <v>0.92300000000000004</v>
      </c>
      <c r="AA19">
        <v>1.2339</v>
      </c>
      <c r="AB19">
        <v>4.6509999999999998</v>
      </c>
    </row>
    <row r="20" spans="18:28" x14ac:dyDescent="0.25">
      <c r="R20" s="7">
        <v>10</v>
      </c>
      <c r="S20">
        <v>91.73</v>
      </c>
      <c r="T20">
        <v>106.084</v>
      </c>
      <c r="U20">
        <v>131.161</v>
      </c>
      <c r="V20">
        <v>145.12299999999999</v>
      </c>
      <c r="W20">
        <v>171.791</v>
      </c>
      <c r="X20">
        <v>0.29370000000000002</v>
      </c>
      <c r="Y20">
        <v>2.0213999999999999</v>
      </c>
      <c r="Z20">
        <v>0.315</v>
      </c>
      <c r="AA20">
        <v>0.4582</v>
      </c>
      <c r="AB20">
        <v>0.51390000000000002</v>
      </c>
    </row>
    <row r="21" spans="18:28" x14ac:dyDescent="0.25">
      <c r="R21" s="7">
        <v>25</v>
      </c>
      <c r="S21">
        <v>91.73</v>
      </c>
      <c r="T21">
        <v>105.333</v>
      </c>
      <c r="U21">
        <v>130.34100000000001</v>
      </c>
      <c r="V21">
        <v>146.55000000000001</v>
      </c>
      <c r="W21">
        <v>171.75299999999999</v>
      </c>
      <c r="X21">
        <v>0.28689999999999999</v>
      </c>
      <c r="Y21">
        <v>4.3426</v>
      </c>
      <c r="Z21">
        <v>0.24970000000000001</v>
      </c>
      <c r="AA21">
        <v>3.4047999999999998</v>
      </c>
      <c r="AB21">
        <v>0.3553</v>
      </c>
    </row>
    <row r="22" spans="18:28" x14ac:dyDescent="0.25">
      <c r="R22" s="7">
        <v>50</v>
      </c>
      <c r="S22">
        <v>80.968000000000004</v>
      </c>
      <c r="T22">
        <v>100.92700000000001</v>
      </c>
      <c r="U22">
        <v>129.65100000000001</v>
      </c>
      <c r="V22">
        <v>147.55700000000002</v>
      </c>
      <c r="W22">
        <v>172.13299999999998</v>
      </c>
      <c r="X22">
        <v>2.484</v>
      </c>
      <c r="Y22">
        <v>2.0733999999999999</v>
      </c>
      <c r="Z22">
        <v>0.59330000000000005</v>
      </c>
      <c r="AA22">
        <v>1.4319</v>
      </c>
      <c r="AB22">
        <v>1.3012999999999999</v>
      </c>
    </row>
    <row r="49" spans="2:10" x14ac:dyDescent="0.25">
      <c r="C49" s="8" t="s">
        <v>22</v>
      </c>
      <c r="D49" s="8"/>
      <c r="E49" s="8"/>
      <c r="F49" s="8"/>
      <c r="G49" s="8" t="s">
        <v>23</v>
      </c>
      <c r="H49" s="8"/>
      <c r="I49" s="8"/>
      <c r="J49" s="8"/>
    </row>
    <row r="50" spans="2:10" x14ac:dyDescent="0.25">
      <c r="C50" s="1">
        <v>1</v>
      </c>
      <c r="D50" s="4" t="s">
        <v>67</v>
      </c>
      <c r="E50" s="4" t="s">
        <v>68</v>
      </c>
      <c r="F50" s="4" t="s">
        <v>69</v>
      </c>
      <c r="G50" s="1">
        <v>1</v>
      </c>
      <c r="H50" s="4" t="s">
        <v>67</v>
      </c>
      <c r="I50" s="4" t="s">
        <v>68</v>
      </c>
      <c r="J50" s="4" t="s">
        <v>69</v>
      </c>
    </row>
    <row r="51" spans="2:10" x14ac:dyDescent="0.25">
      <c r="B51" s="1">
        <v>0.01</v>
      </c>
      <c r="C51">
        <v>88.077333333333328</v>
      </c>
      <c r="D51">
        <v>111.73200000000001</v>
      </c>
      <c r="E51">
        <v>131.73833333333334</v>
      </c>
      <c r="F51">
        <v>140.96800000000002</v>
      </c>
      <c r="G51">
        <v>2.5083664671122734</v>
      </c>
      <c r="H51">
        <v>0.29365966696160539</v>
      </c>
      <c r="I51">
        <v>0.28685245917254043</v>
      </c>
      <c r="J51">
        <v>2.484</v>
      </c>
    </row>
    <row r="52" spans="2:10" x14ac:dyDescent="0.25">
      <c r="B52" s="1">
        <v>0.1</v>
      </c>
      <c r="C52">
        <v>87.343666666666664</v>
      </c>
      <c r="D52">
        <v>106.084</v>
      </c>
      <c r="E52">
        <v>125.33266666666667</v>
      </c>
      <c r="F52">
        <v>140.92733333333331</v>
      </c>
      <c r="G52">
        <v>0.82425805020838883</v>
      </c>
      <c r="H52">
        <v>2.0213948154677754</v>
      </c>
      <c r="I52">
        <v>4.3426252812478925</v>
      </c>
      <c r="J52">
        <v>2.0733683544737858</v>
      </c>
    </row>
    <row r="53" spans="2:10" x14ac:dyDescent="0.25">
      <c r="B53" s="1">
        <v>0.3</v>
      </c>
      <c r="C53">
        <v>92.293333333333337</v>
      </c>
      <c r="D53">
        <v>111.16133333333335</v>
      </c>
      <c r="E53">
        <v>130.34066666666666</v>
      </c>
      <c r="F53">
        <v>149.65049999999999</v>
      </c>
      <c r="G53">
        <v>0.92300884791714577</v>
      </c>
      <c r="H53">
        <v>0.31501322723551461</v>
      </c>
      <c r="I53">
        <v>0.24965242504997018</v>
      </c>
      <c r="J53">
        <v>0.59326258941551235</v>
      </c>
    </row>
    <row r="54" spans="2:10" x14ac:dyDescent="0.25">
      <c r="B54" s="1">
        <v>0.5</v>
      </c>
      <c r="C54">
        <v>83.641333333333321</v>
      </c>
      <c r="D54">
        <v>105.123</v>
      </c>
      <c r="E54">
        <v>126.55</v>
      </c>
      <c r="F54">
        <v>147.55666666666667</v>
      </c>
      <c r="G54">
        <v>1.2338919455662787</v>
      </c>
      <c r="H54">
        <v>0.45820519420888006</v>
      </c>
      <c r="I54">
        <v>3.4047662181124867</v>
      </c>
      <c r="J54">
        <v>1.4318876818149302</v>
      </c>
    </row>
    <row r="55" spans="2:10" x14ac:dyDescent="0.25">
      <c r="B55" s="1">
        <v>1</v>
      </c>
      <c r="C55">
        <v>83.899999999999991</v>
      </c>
      <c r="D55">
        <v>111.791</v>
      </c>
      <c r="E55">
        <v>131.75333333333333</v>
      </c>
      <c r="F55">
        <v>152.13299999999998</v>
      </c>
      <c r="G55">
        <v>4.6509693613267311</v>
      </c>
      <c r="H55">
        <v>0.51387644429376744</v>
      </c>
      <c r="I55">
        <v>0.35528908417418381</v>
      </c>
      <c r="J55">
        <v>1.3012716856982618</v>
      </c>
    </row>
  </sheetData>
  <mergeCells count="8">
    <mergeCell ref="X17:AB17"/>
    <mergeCell ref="C49:F49"/>
    <mergeCell ref="G49:J49"/>
    <mergeCell ref="B1:D1"/>
    <mergeCell ref="C9:F9"/>
    <mergeCell ref="G9:J9"/>
    <mergeCell ref="M10:Q10"/>
    <mergeCell ref="R10:V1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2"/>
  <sheetViews>
    <sheetView zoomScale="70" zoomScaleNormal="70" workbookViewId="0">
      <selection sqref="A1:G14"/>
    </sheetView>
  </sheetViews>
  <sheetFormatPr defaultRowHeight="15" x14ac:dyDescent="0.25"/>
  <cols>
    <col min="3" max="3" width="19.140625" bestFit="1" customWidth="1"/>
    <col min="4" max="4" width="13.7109375" bestFit="1" customWidth="1"/>
    <col min="5" max="5" width="17.7109375" bestFit="1" customWidth="1"/>
    <col min="6" max="6" width="10.42578125" bestFit="1" customWidth="1"/>
    <col min="17" max="17" width="18" bestFit="1" customWidth="1"/>
    <col min="18" max="18" width="20" bestFit="1" customWidth="1"/>
  </cols>
  <sheetData>
    <row r="1" spans="1:18" x14ac:dyDescent="0.25">
      <c r="A1" t="s">
        <v>5</v>
      </c>
    </row>
    <row r="2" spans="1:18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Q2" t="s">
        <v>14</v>
      </c>
      <c r="R2" t="s">
        <v>15</v>
      </c>
    </row>
    <row r="3" spans="1:18" x14ac:dyDescent="0.25">
      <c r="B3">
        <v>24</v>
      </c>
      <c r="C3">
        <f>B3*3.99</f>
        <v>95.76</v>
      </c>
      <c r="E3">
        <f t="shared" ref="E3:E14" si="0">D3*2.98</f>
        <v>0</v>
      </c>
      <c r="F3" t="e">
        <f>E3^(-1/0.88)</f>
        <v>#DIV/0!</v>
      </c>
      <c r="G3">
        <v>95.76</v>
      </c>
      <c r="Q3" t="s">
        <v>16</v>
      </c>
      <c r="R3">
        <v>117.79</v>
      </c>
    </row>
    <row r="4" spans="1:18" x14ac:dyDescent="0.25">
      <c r="B4">
        <v>26</v>
      </c>
      <c r="C4">
        <f t="shared" ref="C4:C14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Q4" t="s">
        <v>17</v>
      </c>
      <c r="R4">
        <v>88.93</v>
      </c>
    </row>
    <row r="5" spans="1:18" x14ac:dyDescent="0.25">
      <c r="B5">
        <v>28</v>
      </c>
      <c r="C5">
        <f t="shared" si="1"/>
        <v>111.72</v>
      </c>
      <c r="E5">
        <f t="shared" si="0"/>
        <v>0</v>
      </c>
      <c r="F5" t="e">
        <f>E5^(-1/0.88)</f>
        <v>#DIV/0!</v>
      </c>
      <c r="G5">
        <v>111.72</v>
      </c>
      <c r="Q5" t="s">
        <v>18</v>
      </c>
      <c r="R5">
        <v>132.41999999999999</v>
      </c>
    </row>
    <row r="6" spans="1:18" x14ac:dyDescent="0.25">
      <c r="B6">
        <v>30</v>
      </c>
      <c r="C6">
        <f t="shared" si="1"/>
        <v>119.7</v>
      </c>
      <c r="E6">
        <f t="shared" si="0"/>
        <v>0</v>
      </c>
      <c r="F6" t="e">
        <f t="shared" ref="F6:F12" si="2">E6^(-1/0.88)</f>
        <v>#DIV/0!</v>
      </c>
      <c r="G6">
        <v>119.7</v>
      </c>
      <c r="Q6" t="s">
        <v>19</v>
      </c>
      <c r="R6">
        <v>115.28</v>
      </c>
    </row>
    <row r="7" spans="1:18" x14ac:dyDescent="0.25">
      <c r="B7">
        <v>32</v>
      </c>
      <c r="C7">
        <f t="shared" si="1"/>
        <v>127.68</v>
      </c>
      <c r="D7">
        <v>383</v>
      </c>
      <c r="E7">
        <f t="shared" si="0"/>
        <v>1141.3399999999999</v>
      </c>
      <c r="F7">
        <f t="shared" si="2"/>
        <v>3.3547852856062675E-4</v>
      </c>
      <c r="G7">
        <v>127.68</v>
      </c>
      <c r="Q7" t="s">
        <v>20</v>
      </c>
      <c r="R7">
        <v>120.75</v>
      </c>
    </row>
    <row r="8" spans="1:18" x14ac:dyDescent="0.25">
      <c r="B8">
        <v>34</v>
      </c>
      <c r="C8">
        <f t="shared" si="1"/>
        <v>135.66</v>
      </c>
      <c r="D8">
        <v>294</v>
      </c>
      <c r="E8">
        <f t="shared" si="0"/>
        <v>876.12</v>
      </c>
      <c r="F8">
        <f t="shared" si="2"/>
        <v>4.5308296462538559E-4</v>
      </c>
      <c r="G8">
        <v>135.66</v>
      </c>
      <c r="Q8" t="s">
        <v>21</v>
      </c>
      <c r="R8">
        <v>121.62</v>
      </c>
    </row>
    <row r="9" spans="1:18" x14ac:dyDescent="0.25">
      <c r="B9">
        <v>36</v>
      </c>
      <c r="C9">
        <f t="shared" si="1"/>
        <v>143.64000000000001</v>
      </c>
      <c r="D9">
        <v>294</v>
      </c>
      <c r="E9">
        <f t="shared" si="0"/>
        <v>876.12</v>
      </c>
      <c r="F9">
        <f t="shared" si="2"/>
        <v>4.5308296462538559E-4</v>
      </c>
      <c r="G9">
        <v>143.64000000000001</v>
      </c>
      <c r="Q9" t="s">
        <v>22</v>
      </c>
      <c r="R9">
        <f>AVERAGE(R3:R8)</f>
        <v>116.13166666666666</v>
      </c>
    </row>
    <row r="10" spans="1:18" x14ac:dyDescent="0.25">
      <c r="B10">
        <v>38</v>
      </c>
      <c r="C10">
        <f t="shared" si="1"/>
        <v>151.62</v>
      </c>
      <c r="D10">
        <v>293</v>
      </c>
      <c r="E10">
        <f t="shared" si="0"/>
        <v>873.14</v>
      </c>
      <c r="F10">
        <f t="shared" si="2"/>
        <v>4.5484059840880008E-4</v>
      </c>
      <c r="G10">
        <v>151.62</v>
      </c>
      <c r="Q10" t="s">
        <v>23</v>
      </c>
      <c r="R10">
        <f>STDEV(R3:R8)</f>
        <v>14.561364519394079</v>
      </c>
    </row>
    <row r="11" spans="1:18" x14ac:dyDescent="0.25">
      <c r="B11">
        <v>40</v>
      </c>
      <c r="C11">
        <f t="shared" si="1"/>
        <v>159.60000000000002</v>
      </c>
      <c r="D11">
        <v>278</v>
      </c>
      <c r="E11">
        <f t="shared" si="0"/>
        <v>828.43999999999994</v>
      </c>
      <c r="F11">
        <f t="shared" si="2"/>
        <v>4.8283000381627792E-4</v>
      </c>
      <c r="G11">
        <v>159.60000000000002</v>
      </c>
    </row>
    <row r="12" spans="1:18" x14ac:dyDescent="0.25">
      <c r="B12">
        <v>50</v>
      </c>
      <c r="C12">
        <f t="shared" si="1"/>
        <v>199.5</v>
      </c>
      <c r="D12">
        <v>255</v>
      </c>
      <c r="E12">
        <f t="shared" si="0"/>
        <v>759.9</v>
      </c>
      <c r="F12">
        <f t="shared" si="2"/>
        <v>5.3261467863319537E-4</v>
      </c>
      <c r="G12">
        <v>199.5</v>
      </c>
    </row>
    <row r="13" spans="1:18" x14ac:dyDescent="0.25">
      <c r="B13">
        <v>60</v>
      </c>
      <c r="C13">
        <f t="shared" si="1"/>
        <v>239.4</v>
      </c>
      <c r="D13">
        <v>84</v>
      </c>
      <c r="E13">
        <f t="shared" si="0"/>
        <v>250.32</v>
      </c>
      <c r="F13">
        <f>E13^(-1/0.88)</f>
        <v>1.8812082507593808E-3</v>
      </c>
      <c r="G13">
        <v>239.4</v>
      </c>
    </row>
    <row r="14" spans="1:18" x14ac:dyDescent="0.25">
      <c r="B14">
        <v>80</v>
      </c>
      <c r="C14">
        <f t="shared" si="1"/>
        <v>319.20000000000005</v>
      </c>
      <c r="D14">
        <v>64</v>
      </c>
      <c r="E14">
        <f t="shared" si="0"/>
        <v>190.72</v>
      </c>
      <c r="F14">
        <f>E14^(-1/0.88)</f>
        <v>2.5623629055451943E-3</v>
      </c>
      <c r="G14">
        <v>319.20000000000005</v>
      </c>
    </row>
    <row r="16" spans="1:18" x14ac:dyDescent="0.25">
      <c r="A16" t="s">
        <v>13</v>
      </c>
    </row>
    <row r="17" spans="1:7" x14ac:dyDescent="0.25">
      <c r="B17" t="s">
        <v>0</v>
      </c>
      <c r="C17" t="s">
        <v>4</v>
      </c>
      <c r="D17" t="s">
        <v>1</v>
      </c>
      <c r="E17" t="s">
        <v>2</v>
      </c>
      <c r="F17" t="s">
        <v>3</v>
      </c>
    </row>
    <row r="18" spans="1:7" x14ac:dyDescent="0.25">
      <c r="B18">
        <v>24</v>
      </c>
      <c r="C18">
        <f>B18*3.99</f>
        <v>95.76</v>
      </c>
      <c r="E18">
        <f t="shared" ref="E18:E29" si="3">D18*2.98</f>
        <v>0</v>
      </c>
      <c r="F18" t="e">
        <f>E18^(-1/0.88)</f>
        <v>#DIV/0!</v>
      </c>
      <c r="G18">
        <v>95.76</v>
      </c>
    </row>
    <row r="19" spans="1:7" x14ac:dyDescent="0.25">
      <c r="B19">
        <v>26</v>
      </c>
      <c r="C19">
        <f t="shared" ref="C19:C29" si="4">B19*3.99</f>
        <v>103.74000000000001</v>
      </c>
      <c r="E19">
        <f t="shared" si="3"/>
        <v>0</v>
      </c>
      <c r="F19" t="e">
        <f>E19^(-1/0.88)</f>
        <v>#DIV/0!</v>
      </c>
      <c r="G19">
        <v>103.74000000000001</v>
      </c>
    </row>
    <row r="20" spans="1:7" x14ac:dyDescent="0.25">
      <c r="B20">
        <v>28</v>
      </c>
      <c r="C20">
        <f t="shared" si="4"/>
        <v>111.72</v>
      </c>
      <c r="E20">
        <f t="shared" si="3"/>
        <v>0</v>
      </c>
      <c r="F20" t="e">
        <f>E20^(-1/0.88)</f>
        <v>#DIV/0!</v>
      </c>
      <c r="G20">
        <v>111.72</v>
      </c>
    </row>
    <row r="21" spans="1:7" x14ac:dyDescent="0.25">
      <c r="B21">
        <v>30</v>
      </c>
      <c r="C21">
        <f t="shared" si="4"/>
        <v>119.7</v>
      </c>
      <c r="E21">
        <f t="shared" si="3"/>
        <v>0</v>
      </c>
      <c r="F21" t="e">
        <f t="shared" ref="F21:F27" si="5">E21^(-1/0.88)</f>
        <v>#DIV/0!</v>
      </c>
      <c r="G21">
        <v>119.7</v>
      </c>
    </row>
    <row r="22" spans="1:7" x14ac:dyDescent="0.25">
      <c r="B22">
        <v>32</v>
      </c>
      <c r="C22">
        <f t="shared" si="4"/>
        <v>127.68</v>
      </c>
      <c r="D22">
        <v>30</v>
      </c>
      <c r="E22">
        <f t="shared" si="3"/>
        <v>89.4</v>
      </c>
      <c r="F22">
        <f t="shared" si="5"/>
        <v>6.0613728780730567E-3</v>
      </c>
      <c r="G22">
        <v>127.68</v>
      </c>
    </row>
    <row r="23" spans="1:7" x14ac:dyDescent="0.25">
      <c r="B23">
        <v>34</v>
      </c>
      <c r="C23">
        <f t="shared" si="4"/>
        <v>135.66</v>
      </c>
      <c r="D23">
        <v>30</v>
      </c>
      <c r="E23">
        <f t="shared" si="3"/>
        <v>89.4</v>
      </c>
      <c r="F23">
        <f t="shared" si="5"/>
        <v>6.0613728780730567E-3</v>
      </c>
      <c r="G23">
        <v>135.66</v>
      </c>
    </row>
    <row r="24" spans="1:7" x14ac:dyDescent="0.25">
      <c r="B24">
        <v>36</v>
      </c>
      <c r="C24">
        <f t="shared" si="4"/>
        <v>143.64000000000001</v>
      </c>
      <c r="D24">
        <v>28</v>
      </c>
      <c r="E24">
        <f t="shared" si="3"/>
        <v>83.44</v>
      </c>
      <c r="F24">
        <f t="shared" si="5"/>
        <v>6.5557158127675817E-3</v>
      </c>
      <c r="G24">
        <v>143.64000000000001</v>
      </c>
    </row>
    <row r="25" spans="1:7" x14ac:dyDescent="0.25">
      <c r="B25">
        <v>38</v>
      </c>
      <c r="C25">
        <f t="shared" si="4"/>
        <v>151.62</v>
      </c>
      <c r="D25">
        <v>27</v>
      </c>
      <c r="E25">
        <f t="shared" si="3"/>
        <v>80.459999999999994</v>
      </c>
      <c r="F25">
        <f t="shared" si="5"/>
        <v>6.8323192270269553E-3</v>
      </c>
      <c r="G25">
        <v>151.62</v>
      </c>
    </row>
    <row r="26" spans="1:7" x14ac:dyDescent="0.25">
      <c r="B26">
        <v>40</v>
      </c>
      <c r="C26">
        <f t="shared" si="4"/>
        <v>159.60000000000002</v>
      </c>
      <c r="D26">
        <v>25</v>
      </c>
      <c r="E26">
        <f t="shared" si="3"/>
        <v>74.5</v>
      </c>
      <c r="F26">
        <f t="shared" si="5"/>
        <v>7.4567518401223581E-3</v>
      </c>
      <c r="G26">
        <v>159.60000000000002</v>
      </c>
    </row>
    <row r="27" spans="1:7" x14ac:dyDescent="0.25">
      <c r="B27">
        <v>50</v>
      </c>
      <c r="C27">
        <f t="shared" si="4"/>
        <v>199.5</v>
      </c>
      <c r="D27">
        <v>23</v>
      </c>
      <c r="E27">
        <f t="shared" si="3"/>
        <v>68.540000000000006</v>
      </c>
      <c r="F27">
        <f t="shared" si="5"/>
        <v>8.1978484653347193E-3</v>
      </c>
      <c r="G27">
        <v>199.5</v>
      </c>
    </row>
    <row r="28" spans="1:7" x14ac:dyDescent="0.25">
      <c r="B28">
        <v>60</v>
      </c>
      <c r="C28">
        <f t="shared" si="4"/>
        <v>239.4</v>
      </c>
      <c r="D28">
        <v>12</v>
      </c>
      <c r="E28">
        <f t="shared" si="3"/>
        <v>35.76</v>
      </c>
      <c r="F28">
        <f>E28^(-1/0.88)</f>
        <v>1.7170208017345791E-2</v>
      </c>
      <c r="G28">
        <v>239.4</v>
      </c>
    </row>
    <row r="29" spans="1:7" x14ac:dyDescent="0.25">
      <c r="B29">
        <v>80</v>
      </c>
      <c r="C29">
        <f t="shared" si="4"/>
        <v>319.20000000000005</v>
      </c>
      <c r="E29">
        <f t="shared" si="3"/>
        <v>0</v>
      </c>
      <c r="F29" t="e">
        <f>E29^(-1/0.88)</f>
        <v>#DIV/0!</v>
      </c>
      <c r="G29">
        <v>319.20000000000005</v>
      </c>
    </row>
    <row r="31" spans="1:7" x14ac:dyDescent="0.25">
      <c r="A31" t="s">
        <v>7</v>
      </c>
    </row>
    <row r="32" spans="1:7" x14ac:dyDescent="0.25">
      <c r="B32" t="s">
        <v>0</v>
      </c>
      <c r="C32" t="s">
        <v>4</v>
      </c>
      <c r="D32" t="s">
        <v>1</v>
      </c>
      <c r="E32" t="s">
        <v>2</v>
      </c>
      <c r="F32" t="s">
        <v>3</v>
      </c>
    </row>
    <row r="33" spans="1:7" x14ac:dyDescent="0.25">
      <c r="B33">
        <v>24</v>
      </c>
      <c r="C33">
        <f>B33*3.99</f>
        <v>95.76</v>
      </c>
      <c r="E33">
        <f t="shared" ref="E33:E44" si="6">D33*2.98</f>
        <v>0</v>
      </c>
      <c r="F33" t="e">
        <f>E33^(-1/0.88)</f>
        <v>#DIV/0!</v>
      </c>
      <c r="G33">
        <v>95.76</v>
      </c>
    </row>
    <row r="34" spans="1:7" x14ac:dyDescent="0.25">
      <c r="B34">
        <v>26</v>
      </c>
      <c r="C34">
        <f t="shared" ref="C34:C44" si="7">B34*3.99</f>
        <v>103.74000000000001</v>
      </c>
      <c r="E34">
        <f t="shared" si="6"/>
        <v>0</v>
      </c>
      <c r="F34" t="e">
        <f>E34^(-1/0.88)</f>
        <v>#DIV/0!</v>
      </c>
      <c r="G34">
        <v>103.74000000000001</v>
      </c>
    </row>
    <row r="35" spans="1:7" x14ac:dyDescent="0.25">
      <c r="B35">
        <v>28</v>
      </c>
      <c r="C35">
        <f t="shared" si="7"/>
        <v>111.72</v>
      </c>
      <c r="E35">
        <f t="shared" si="6"/>
        <v>0</v>
      </c>
      <c r="F35" t="e">
        <f>E35^(-1/0.88)</f>
        <v>#DIV/0!</v>
      </c>
      <c r="G35">
        <v>111.72</v>
      </c>
    </row>
    <row r="36" spans="1:7" x14ac:dyDescent="0.25">
      <c r="B36">
        <v>30</v>
      </c>
      <c r="C36">
        <f t="shared" si="7"/>
        <v>119.7</v>
      </c>
      <c r="E36">
        <f t="shared" si="6"/>
        <v>0</v>
      </c>
      <c r="F36" t="e">
        <f t="shared" ref="F36:F42" si="8">E36^(-1/0.88)</f>
        <v>#DIV/0!</v>
      </c>
      <c r="G36">
        <v>119.7</v>
      </c>
    </row>
    <row r="37" spans="1:7" x14ac:dyDescent="0.25">
      <c r="B37">
        <v>32</v>
      </c>
      <c r="C37">
        <f t="shared" si="7"/>
        <v>127.68</v>
      </c>
      <c r="E37">
        <f t="shared" si="6"/>
        <v>0</v>
      </c>
      <c r="F37" t="e">
        <f t="shared" si="8"/>
        <v>#DIV/0!</v>
      </c>
      <c r="G37">
        <v>127.68</v>
      </c>
    </row>
    <row r="38" spans="1:7" x14ac:dyDescent="0.25">
      <c r="B38">
        <v>34</v>
      </c>
      <c r="C38">
        <f t="shared" si="7"/>
        <v>135.66</v>
      </c>
      <c r="D38">
        <v>237</v>
      </c>
      <c r="E38">
        <f t="shared" si="6"/>
        <v>706.26</v>
      </c>
      <c r="F38">
        <f t="shared" si="8"/>
        <v>5.7881558437985255E-4</v>
      </c>
      <c r="G38">
        <v>135.66</v>
      </c>
    </row>
    <row r="39" spans="1:7" x14ac:dyDescent="0.25">
      <c r="B39">
        <v>36</v>
      </c>
      <c r="C39">
        <f t="shared" si="7"/>
        <v>143.64000000000001</v>
      </c>
      <c r="D39">
        <v>158</v>
      </c>
      <c r="E39">
        <f t="shared" si="6"/>
        <v>470.84</v>
      </c>
      <c r="F39">
        <f t="shared" si="8"/>
        <v>9.1757995852826736E-4</v>
      </c>
      <c r="G39">
        <v>143.64000000000001</v>
      </c>
    </row>
    <row r="40" spans="1:7" x14ac:dyDescent="0.25">
      <c r="B40">
        <v>38</v>
      </c>
      <c r="C40">
        <f t="shared" si="7"/>
        <v>151.62</v>
      </c>
      <c r="D40">
        <v>158</v>
      </c>
      <c r="E40">
        <f t="shared" si="6"/>
        <v>470.84</v>
      </c>
      <c r="F40">
        <f t="shared" si="8"/>
        <v>9.1757995852826736E-4</v>
      </c>
      <c r="G40">
        <v>151.62</v>
      </c>
    </row>
    <row r="41" spans="1:7" x14ac:dyDescent="0.25">
      <c r="B41">
        <v>40</v>
      </c>
      <c r="C41">
        <f t="shared" si="7"/>
        <v>159.60000000000002</v>
      </c>
      <c r="D41">
        <v>157</v>
      </c>
      <c r="E41">
        <f t="shared" si="6"/>
        <v>467.86</v>
      </c>
      <c r="F41">
        <f t="shared" si="8"/>
        <v>9.2422426741514902E-4</v>
      </c>
      <c r="G41">
        <v>159.60000000000002</v>
      </c>
    </row>
    <row r="42" spans="1:7" x14ac:dyDescent="0.25">
      <c r="B42">
        <v>50</v>
      </c>
      <c r="C42">
        <f t="shared" si="7"/>
        <v>199.5</v>
      </c>
      <c r="D42">
        <v>47</v>
      </c>
      <c r="E42">
        <f t="shared" si="6"/>
        <v>140.06</v>
      </c>
      <c r="F42">
        <f t="shared" si="8"/>
        <v>3.6392063325281759E-3</v>
      </c>
      <c r="G42">
        <v>199.5</v>
      </c>
    </row>
    <row r="43" spans="1:7" x14ac:dyDescent="0.25">
      <c r="B43">
        <v>60</v>
      </c>
      <c r="C43">
        <f t="shared" si="7"/>
        <v>239.4</v>
      </c>
      <c r="D43">
        <v>32</v>
      </c>
      <c r="E43">
        <f t="shared" si="6"/>
        <v>95.36</v>
      </c>
      <c r="F43">
        <f>E43^(-1/0.88)</f>
        <v>5.6327461460243889E-3</v>
      </c>
      <c r="G43">
        <v>239.4</v>
      </c>
    </row>
    <row r="44" spans="1:7" x14ac:dyDescent="0.25">
      <c r="B44">
        <v>80</v>
      </c>
      <c r="C44">
        <f t="shared" si="7"/>
        <v>319.20000000000005</v>
      </c>
      <c r="D44">
        <v>19</v>
      </c>
      <c r="E44">
        <f t="shared" si="6"/>
        <v>56.62</v>
      </c>
      <c r="F44">
        <f>E44^(-1/0.88)</f>
        <v>1.0185650959234835E-2</v>
      </c>
      <c r="G44">
        <v>319.20000000000005</v>
      </c>
    </row>
    <row r="47" spans="1:7" x14ac:dyDescent="0.25">
      <c r="A47" t="s">
        <v>8</v>
      </c>
    </row>
    <row r="48" spans="1:7" x14ac:dyDescent="0.25">
      <c r="B48" t="s">
        <v>0</v>
      </c>
      <c r="C48" t="s">
        <v>4</v>
      </c>
      <c r="D48" t="s">
        <v>1</v>
      </c>
      <c r="E48" t="s">
        <v>2</v>
      </c>
      <c r="F48" t="s">
        <v>3</v>
      </c>
    </row>
    <row r="49" spans="1:7" x14ac:dyDescent="0.25">
      <c r="B49">
        <v>24</v>
      </c>
      <c r="C49">
        <f>B49*3.99</f>
        <v>95.76</v>
      </c>
      <c r="E49">
        <f t="shared" ref="E49:E60" si="9">D49*2.98</f>
        <v>0</v>
      </c>
      <c r="F49" t="e">
        <f>E49^(-1/0.88)</f>
        <v>#DIV/0!</v>
      </c>
      <c r="G49">
        <v>95.76</v>
      </c>
    </row>
    <row r="50" spans="1:7" x14ac:dyDescent="0.25">
      <c r="B50">
        <v>26</v>
      </c>
      <c r="C50">
        <f t="shared" ref="C50:C60" si="10">B50*3.99</f>
        <v>103.74000000000001</v>
      </c>
      <c r="E50">
        <f t="shared" si="9"/>
        <v>0</v>
      </c>
      <c r="F50" t="e">
        <f>E50^(-1/0.88)</f>
        <v>#DIV/0!</v>
      </c>
      <c r="G50">
        <v>103.74000000000001</v>
      </c>
    </row>
    <row r="51" spans="1:7" x14ac:dyDescent="0.25">
      <c r="B51">
        <v>28</v>
      </c>
      <c r="C51">
        <f t="shared" si="10"/>
        <v>111.72</v>
      </c>
      <c r="E51">
        <f t="shared" si="9"/>
        <v>0</v>
      </c>
      <c r="F51" t="e">
        <f>E51^(-1/0.88)</f>
        <v>#DIV/0!</v>
      </c>
      <c r="G51">
        <v>111.72</v>
      </c>
    </row>
    <row r="52" spans="1:7" x14ac:dyDescent="0.25">
      <c r="B52">
        <v>30</v>
      </c>
      <c r="C52">
        <f t="shared" si="10"/>
        <v>119.7</v>
      </c>
      <c r="E52">
        <f t="shared" si="9"/>
        <v>0</v>
      </c>
      <c r="F52" t="e">
        <f t="shared" ref="F52:F58" si="11">E52^(-1/0.88)</f>
        <v>#DIV/0!</v>
      </c>
      <c r="G52">
        <v>119.7</v>
      </c>
    </row>
    <row r="53" spans="1:7" x14ac:dyDescent="0.25">
      <c r="B53">
        <v>32</v>
      </c>
      <c r="C53">
        <f t="shared" si="10"/>
        <v>127.68</v>
      </c>
      <c r="E53">
        <f t="shared" si="9"/>
        <v>0</v>
      </c>
      <c r="F53" t="e">
        <f t="shared" si="11"/>
        <v>#DIV/0!</v>
      </c>
      <c r="G53">
        <v>127.68</v>
      </c>
    </row>
    <row r="54" spans="1:7" x14ac:dyDescent="0.25">
      <c r="B54">
        <v>34</v>
      </c>
      <c r="C54">
        <f t="shared" si="10"/>
        <v>135.66</v>
      </c>
      <c r="D54">
        <v>152</v>
      </c>
      <c r="E54">
        <f t="shared" si="9"/>
        <v>452.96</v>
      </c>
      <c r="F54">
        <f t="shared" si="11"/>
        <v>9.5884888630921763E-4</v>
      </c>
      <c r="G54">
        <v>135.66</v>
      </c>
    </row>
    <row r="55" spans="1:7" x14ac:dyDescent="0.25">
      <c r="B55">
        <v>36</v>
      </c>
      <c r="C55">
        <f t="shared" si="10"/>
        <v>143.64000000000001</v>
      </c>
      <c r="D55">
        <v>139</v>
      </c>
      <c r="E55">
        <f t="shared" si="9"/>
        <v>414.21999999999997</v>
      </c>
      <c r="F55">
        <f t="shared" si="11"/>
        <v>1.0613870647656809E-3</v>
      </c>
      <c r="G55">
        <v>143.64000000000001</v>
      </c>
    </row>
    <row r="56" spans="1:7" x14ac:dyDescent="0.25">
      <c r="B56">
        <v>38</v>
      </c>
      <c r="C56">
        <f t="shared" si="10"/>
        <v>151.62</v>
      </c>
      <c r="D56">
        <v>86</v>
      </c>
      <c r="E56">
        <f t="shared" si="9"/>
        <v>256.27999999999997</v>
      </c>
      <c r="F56">
        <f t="shared" si="11"/>
        <v>1.8315728074955549E-3</v>
      </c>
      <c r="G56">
        <v>151.62</v>
      </c>
    </row>
    <row r="57" spans="1:7" x14ac:dyDescent="0.25">
      <c r="B57">
        <v>40</v>
      </c>
      <c r="C57">
        <f t="shared" si="10"/>
        <v>159.60000000000002</v>
      </c>
      <c r="D57">
        <v>78</v>
      </c>
      <c r="E57">
        <f t="shared" si="9"/>
        <v>232.44</v>
      </c>
      <c r="F57">
        <f t="shared" si="11"/>
        <v>2.0464935427936043E-3</v>
      </c>
      <c r="G57">
        <v>159.60000000000002</v>
      </c>
    </row>
    <row r="58" spans="1:7" x14ac:dyDescent="0.25">
      <c r="B58">
        <v>50</v>
      </c>
      <c r="C58">
        <f t="shared" si="10"/>
        <v>199.5</v>
      </c>
      <c r="D58">
        <v>37</v>
      </c>
      <c r="E58">
        <f t="shared" si="9"/>
        <v>110.26</v>
      </c>
      <c r="F58">
        <f t="shared" si="11"/>
        <v>4.7760676318044622E-3</v>
      </c>
      <c r="G58">
        <v>199.5</v>
      </c>
    </row>
    <row r="59" spans="1:7" x14ac:dyDescent="0.25">
      <c r="B59">
        <v>60</v>
      </c>
      <c r="C59">
        <f t="shared" si="10"/>
        <v>239.4</v>
      </c>
      <c r="D59">
        <v>31</v>
      </c>
      <c r="E59">
        <f t="shared" si="9"/>
        <v>92.38</v>
      </c>
      <c r="F59">
        <f>E59^(-1/0.88)</f>
        <v>5.8396750879134646E-3</v>
      </c>
      <c r="G59">
        <v>239.4</v>
      </c>
    </row>
    <row r="60" spans="1:7" x14ac:dyDescent="0.25">
      <c r="B60">
        <v>80</v>
      </c>
      <c r="C60">
        <f t="shared" si="10"/>
        <v>319.20000000000005</v>
      </c>
      <c r="D60">
        <v>20</v>
      </c>
      <c r="E60">
        <f t="shared" si="9"/>
        <v>59.6</v>
      </c>
      <c r="F60">
        <f>E60^(-1/0.88)</f>
        <v>9.6089228144152165E-3</v>
      </c>
      <c r="G60">
        <v>319.20000000000005</v>
      </c>
    </row>
    <row r="63" spans="1:7" x14ac:dyDescent="0.25">
      <c r="A63" t="s">
        <v>9</v>
      </c>
    </row>
    <row r="64" spans="1:7" x14ac:dyDescent="0.25">
      <c r="B64" t="s">
        <v>0</v>
      </c>
      <c r="C64" t="s">
        <v>4</v>
      </c>
      <c r="D64" t="s">
        <v>1</v>
      </c>
      <c r="E64" t="s">
        <v>2</v>
      </c>
      <c r="F64" t="s">
        <v>3</v>
      </c>
    </row>
    <row r="65" spans="1:7" x14ac:dyDescent="0.25">
      <c r="B65">
        <v>24</v>
      </c>
      <c r="C65">
        <f>B65*3.99</f>
        <v>95.76</v>
      </c>
      <c r="E65">
        <f t="shared" ref="E65:E76" si="12">D65*2.98</f>
        <v>0</v>
      </c>
      <c r="F65" t="e">
        <f>E65^(-1/0.88)</f>
        <v>#DIV/0!</v>
      </c>
      <c r="G65">
        <v>95.76</v>
      </c>
    </row>
    <row r="66" spans="1:7" x14ac:dyDescent="0.25">
      <c r="B66">
        <v>26</v>
      </c>
      <c r="C66">
        <f t="shared" ref="C66:C76" si="13">B66*3.99</f>
        <v>103.74000000000001</v>
      </c>
      <c r="E66">
        <f t="shared" si="12"/>
        <v>0</v>
      </c>
      <c r="F66" t="e">
        <f>E66^(-1/0.88)</f>
        <v>#DIV/0!</v>
      </c>
      <c r="G66">
        <v>103.74000000000001</v>
      </c>
    </row>
    <row r="67" spans="1:7" x14ac:dyDescent="0.25">
      <c r="B67">
        <v>28</v>
      </c>
      <c r="C67">
        <f t="shared" si="13"/>
        <v>111.72</v>
      </c>
      <c r="E67">
        <f t="shared" si="12"/>
        <v>0</v>
      </c>
      <c r="F67" t="e">
        <f>E67^(-1/0.88)</f>
        <v>#DIV/0!</v>
      </c>
      <c r="G67">
        <v>111.72</v>
      </c>
    </row>
    <row r="68" spans="1:7" x14ac:dyDescent="0.25">
      <c r="B68">
        <v>30</v>
      </c>
      <c r="C68">
        <f t="shared" si="13"/>
        <v>119.7</v>
      </c>
      <c r="D68">
        <v>432</v>
      </c>
      <c r="E68">
        <f t="shared" si="12"/>
        <v>1287.3599999999999</v>
      </c>
      <c r="F68">
        <f t="shared" ref="F68:F74" si="14">E68^(-1/0.88)</f>
        <v>2.9258360564620681E-4</v>
      </c>
      <c r="G68">
        <v>119.7</v>
      </c>
    </row>
    <row r="69" spans="1:7" x14ac:dyDescent="0.25">
      <c r="B69">
        <v>32</v>
      </c>
      <c r="C69">
        <f t="shared" si="13"/>
        <v>127.68</v>
      </c>
      <c r="D69">
        <v>350</v>
      </c>
      <c r="E69">
        <f t="shared" si="12"/>
        <v>1043</v>
      </c>
      <c r="F69">
        <f t="shared" si="14"/>
        <v>3.7164771561681349E-4</v>
      </c>
      <c r="G69">
        <v>127.68</v>
      </c>
    </row>
    <row r="70" spans="1:7" x14ac:dyDescent="0.25">
      <c r="B70">
        <v>34</v>
      </c>
      <c r="C70">
        <f t="shared" si="13"/>
        <v>135.66</v>
      </c>
      <c r="D70">
        <v>303</v>
      </c>
      <c r="E70">
        <f t="shared" si="12"/>
        <v>902.93999999999994</v>
      </c>
      <c r="F70">
        <f t="shared" si="14"/>
        <v>4.3782112540629567E-4</v>
      </c>
      <c r="G70">
        <v>135.66</v>
      </c>
    </row>
    <row r="71" spans="1:7" x14ac:dyDescent="0.25">
      <c r="B71">
        <v>36</v>
      </c>
      <c r="C71">
        <f t="shared" si="13"/>
        <v>143.64000000000001</v>
      </c>
      <c r="D71">
        <v>303</v>
      </c>
      <c r="E71">
        <f t="shared" si="12"/>
        <v>902.93999999999994</v>
      </c>
      <c r="F71">
        <f t="shared" si="14"/>
        <v>4.3782112540629567E-4</v>
      </c>
      <c r="G71">
        <v>143.64000000000001</v>
      </c>
    </row>
    <row r="72" spans="1:7" x14ac:dyDescent="0.25">
      <c r="B72">
        <v>38</v>
      </c>
      <c r="C72">
        <f t="shared" si="13"/>
        <v>151.62</v>
      </c>
      <c r="D72">
        <v>302</v>
      </c>
      <c r="E72">
        <f t="shared" si="12"/>
        <v>899.96</v>
      </c>
      <c r="F72">
        <f t="shared" si="14"/>
        <v>4.3946892747265834E-4</v>
      </c>
      <c r="G72">
        <v>151.62</v>
      </c>
    </row>
    <row r="73" spans="1:7" x14ac:dyDescent="0.25">
      <c r="B73">
        <v>40</v>
      </c>
      <c r="C73">
        <f t="shared" si="13"/>
        <v>159.60000000000002</v>
      </c>
      <c r="D73">
        <v>301</v>
      </c>
      <c r="E73">
        <f t="shared" si="12"/>
        <v>896.98</v>
      </c>
      <c r="F73">
        <f t="shared" si="14"/>
        <v>4.4112842754774341E-4</v>
      </c>
      <c r="G73">
        <v>159.60000000000002</v>
      </c>
    </row>
    <row r="74" spans="1:7" x14ac:dyDescent="0.25">
      <c r="B74">
        <v>50</v>
      </c>
      <c r="C74">
        <f t="shared" si="13"/>
        <v>199.5</v>
      </c>
      <c r="D74">
        <v>240</v>
      </c>
      <c r="E74">
        <f t="shared" si="12"/>
        <v>715.2</v>
      </c>
      <c r="F74">
        <f t="shared" si="14"/>
        <v>5.7060080469141191E-4</v>
      </c>
      <c r="G74">
        <v>199.5</v>
      </c>
    </row>
    <row r="75" spans="1:7" x14ac:dyDescent="0.25">
      <c r="B75">
        <v>60</v>
      </c>
      <c r="C75">
        <f t="shared" si="13"/>
        <v>239.4</v>
      </c>
      <c r="D75">
        <v>72</v>
      </c>
      <c r="E75">
        <f t="shared" si="12"/>
        <v>214.56</v>
      </c>
      <c r="F75">
        <f>E75^(-1/0.88)</f>
        <v>2.2413659610626821E-3</v>
      </c>
      <c r="G75">
        <v>239.4</v>
      </c>
    </row>
    <row r="76" spans="1:7" x14ac:dyDescent="0.25">
      <c r="B76">
        <v>80</v>
      </c>
      <c r="C76">
        <f t="shared" si="13"/>
        <v>319.20000000000005</v>
      </c>
      <c r="D76">
        <v>54</v>
      </c>
      <c r="E76">
        <f t="shared" si="12"/>
        <v>160.91999999999999</v>
      </c>
      <c r="F76">
        <f>E76^(-1/0.88)</f>
        <v>3.10805438276914E-3</v>
      </c>
      <c r="G76">
        <v>319.20000000000005</v>
      </c>
    </row>
    <row r="79" spans="1:7" x14ac:dyDescent="0.25">
      <c r="A79" t="s">
        <v>10</v>
      </c>
    </row>
    <row r="80" spans="1:7" x14ac:dyDescent="0.25">
      <c r="B80" t="s">
        <v>0</v>
      </c>
      <c r="C80" t="s">
        <v>4</v>
      </c>
      <c r="D80" t="s">
        <v>1</v>
      </c>
      <c r="E80" t="s">
        <v>2</v>
      </c>
      <c r="F80" t="s">
        <v>3</v>
      </c>
    </row>
    <row r="81" spans="2:7" x14ac:dyDescent="0.25">
      <c r="B81">
        <v>24</v>
      </c>
      <c r="C81">
        <f>B81*3.99</f>
        <v>95.76</v>
      </c>
      <c r="E81">
        <f t="shared" ref="E81:E92" si="15">D81*2.98</f>
        <v>0</v>
      </c>
      <c r="F81" t="e">
        <f>E81^(-1/0.88)</f>
        <v>#DIV/0!</v>
      </c>
      <c r="G81">
        <v>95.76</v>
      </c>
    </row>
    <row r="82" spans="2:7" x14ac:dyDescent="0.25">
      <c r="B82">
        <v>26</v>
      </c>
      <c r="C82">
        <f t="shared" ref="C82:C92" si="16">B82*3.99</f>
        <v>103.74000000000001</v>
      </c>
      <c r="E82">
        <f t="shared" si="15"/>
        <v>0</v>
      </c>
      <c r="F82" t="e">
        <f>E82^(-1/0.88)</f>
        <v>#DIV/0!</v>
      </c>
      <c r="G82">
        <v>103.74000000000001</v>
      </c>
    </row>
    <row r="83" spans="2:7" x14ac:dyDescent="0.25">
      <c r="B83">
        <v>28</v>
      </c>
      <c r="C83">
        <f t="shared" si="16"/>
        <v>111.72</v>
      </c>
      <c r="E83">
        <f t="shared" si="15"/>
        <v>0</v>
      </c>
      <c r="F83" t="e">
        <f>E83^(-1/0.88)</f>
        <v>#DIV/0!</v>
      </c>
      <c r="G83">
        <v>111.72</v>
      </c>
    </row>
    <row r="84" spans="2:7" x14ac:dyDescent="0.25">
      <c r="B84">
        <v>30</v>
      </c>
      <c r="C84">
        <f t="shared" si="16"/>
        <v>119.7</v>
      </c>
      <c r="D84">
        <v>32</v>
      </c>
      <c r="E84">
        <f t="shared" si="15"/>
        <v>95.36</v>
      </c>
      <c r="F84">
        <f t="shared" ref="F84:F90" si="17">E84^(-1/0.88)</f>
        <v>5.6327461460243889E-3</v>
      </c>
      <c r="G84">
        <v>119.7</v>
      </c>
    </row>
    <row r="85" spans="2:7" x14ac:dyDescent="0.25">
      <c r="B85">
        <v>32</v>
      </c>
      <c r="C85">
        <f t="shared" si="16"/>
        <v>127.68</v>
      </c>
      <c r="D85">
        <v>31</v>
      </c>
      <c r="E85">
        <f t="shared" si="15"/>
        <v>92.38</v>
      </c>
      <c r="F85">
        <f t="shared" si="17"/>
        <v>5.8396750879134646E-3</v>
      </c>
      <c r="G85">
        <v>127.68</v>
      </c>
    </row>
    <row r="86" spans="2:7" x14ac:dyDescent="0.25">
      <c r="B86">
        <v>34</v>
      </c>
      <c r="C86">
        <f t="shared" si="16"/>
        <v>135.66</v>
      </c>
      <c r="D86">
        <v>24</v>
      </c>
      <c r="E86">
        <f t="shared" si="15"/>
        <v>71.52</v>
      </c>
      <c r="F86">
        <f t="shared" si="17"/>
        <v>7.8108089666342031E-3</v>
      </c>
      <c r="G86">
        <v>135.66</v>
      </c>
    </row>
    <row r="87" spans="2:7" x14ac:dyDescent="0.25">
      <c r="B87">
        <v>36</v>
      </c>
      <c r="C87">
        <f t="shared" si="16"/>
        <v>143.64000000000001</v>
      </c>
      <c r="D87">
        <v>24</v>
      </c>
      <c r="E87">
        <f t="shared" si="15"/>
        <v>71.52</v>
      </c>
      <c r="F87">
        <f t="shared" si="17"/>
        <v>7.8108089666342031E-3</v>
      </c>
      <c r="G87">
        <v>143.64000000000001</v>
      </c>
    </row>
    <row r="88" spans="2:7" x14ac:dyDescent="0.25">
      <c r="B88">
        <v>38</v>
      </c>
      <c r="C88">
        <f t="shared" si="16"/>
        <v>151.62</v>
      </c>
      <c r="D88">
        <v>23</v>
      </c>
      <c r="E88">
        <f t="shared" si="15"/>
        <v>68.540000000000006</v>
      </c>
      <c r="F88">
        <f t="shared" si="17"/>
        <v>8.1978484653347193E-3</v>
      </c>
      <c r="G88">
        <v>151.62</v>
      </c>
    </row>
    <row r="89" spans="2:7" x14ac:dyDescent="0.25">
      <c r="B89">
        <v>40</v>
      </c>
      <c r="C89">
        <f t="shared" si="16"/>
        <v>159.60000000000002</v>
      </c>
      <c r="D89">
        <v>23</v>
      </c>
      <c r="E89">
        <f t="shared" si="15"/>
        <v>68.540000000000006</v>
      </c>
      <c r="F89">
        <f t="shared" si="17"/>
        <v>8.1978484653347193E-3</v>
      </c>
      <c r="G89">
        <v>159.60000000000002</v>
      </c>
    </row>
    <row r="90" spans="2:7" x14ac:dyDescent="0.25">
      <c r="B90">
        <v>50</v>
      </c>
      <c r="C90">
        <f t="shared" si="16"/>
        <v>199.5</v>
      </c>
      <c r="D90">
        <v>18</v>
      </c>
      <c r="E90">
        <f t="shared" si="15"/>
        <v>53.64</v>
      </c>
      <c r="F90">
        <f t="shared" si="17"/>
        <v>1.0831082234429018E-2</v>
      </c>
      <c r="G90">
        <v>199.5</v>
      </c>
    </row>
    <row r="91" spans="2:7" x14ac:dyDescent="0.25">
      <c r="B91">
        <v>60</v>
      </c>
      <c r="C91">
        <f t="shared" si="16"/>
        <v>239.4</v>
      </c>
      <c r="D91">
        <v>6</v>
      </c>
      <c r="E91">
        <f t="shared" si="15"/>
        <v>17.88</v>
      </c>
      <c r="F91">
        <f>E91^(-1/0.88)</f>
        <v>3.774462345940157E-2</v>
      </c>
      <c r="G91">
        <v>239.4</v>
      </c>
    </row>
    <row r="92" spans="2:7" x14ac:dyDescent="0.25">
      <c r="B92">
        <v>80</v>
      </c>
      <c r="C92">
        <f t="shared" si="16"/>
        <v>319.20000000000005</v>
      </c>
      <c r="E92">
        <f t="shared" si="15"/>
        <v>0</v>
      </c>
      <c r="F92" t="e">
        <f>E92^(-1/0.88)</f>
        <v>#DIV/0!</v>
      </c>
      <c r="G92">
        <v>319.20000000000005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"/>
  <sheetViews>
    <sheetView workbookViewId="0">
      <selection activeCell="D48" sqref="D48"/>
    </sheetView>
  </sheetViews>
  <sheetFormatPr defaultRowHeight="15" x14ac:dyDescent="0.25"/>
  <cols>
    <col min="3" max="3" width="19.140625" bestFit="1" customWidth="1"/>
    <col min="4" max="4" width="13.7109375" bestFit="1" customWidth="1"/>
    <col min="5" max="5" width="17.7109375" bestFit="1" customWidth="1"/>
    <col min="6" max="6" width="12" bestFit="1" customWidth="1"/>
  </cols>
  <sheetData>
    <row r="1" spans="1:7" x14ac:dyDescent="0.25">
      <c r="A1" t="s">
        <v>5</v>
      </c>
    </row>
    <row r="2" spans="1: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</row>
    <row r="3" spans="1:7" x14ac:dyDescent="0.25">
      <c r="B3">
        <v>24</v>
      </c>
      <c r="C3">
        <f>B3*3.99</f>
        <v>95.76</v>
      </c>
      <c r="D3">
        <v>205</v>
      </c>
      <c r="E3">
        <f t="shared" ref="E3:E12" si="0">D3*2.98</f>
        <v>610.9</v>
      </c>
      <c r="F3">
        <f>E3^(-1/0.88)</f>
        <v>6.8253489179710236E-4</v>
      </c>
      <c r="G3">
        <v>95.76</v>
      </c>
    </row>
    <row r="4" spans="1:7" x14ac:dyDescent="0.25">
      <c r="B4">
        <v>26</v>
      </c>
      <c r="C4">
        <f t="shared" ref="C4:C12" si="1">B4*3.99</f>
        <v>103.74000000000001</v>
      </c>
      <c r="D4">
        <v>202</v>
      </c>
      <c r="E4">
        <f t="shared" si="0"/>
        <v>601.96</v>
      </c>
      <c r="F4">
        <f>E4^(-1/0.88)</f>
        <v>6.9406543454342382E-4</v>
      </c>
      <c r="G4">
        <v>103.74000000000001</v>
      </c>
    </row>
    <row r="5" spans="1:7" x14ac:dyDescent="0.25">
      <c r="B5">
        <v>28</v>
      </c>
      <c r="C5">
        <f t="shared" si="1"/>
        <v>111.72</v>
      </c>
      <c r="D5">
        <v>174</v>
      </c>
      <c r="E5">
        <f t="shared" si="0"/>
        <v>518.52</v>
      </c>
      <c r="F5">
        <f>E5^(-1/0.88)</f>
        <v>8.2231685203107614E-4</v>
      </c>
      <c r="G5">
        <v>111.72</v>
      </c>
    </row>
    <row r="6" spans="1:7" x14ac:dyDescent="0.25">
      <c r="B6">
        <v>30</v>
      </c>
      <c r="C6">
        <f t="shared" si="1"/>
        <v>119.7</v>
      </c>
      <c r="D6">
        <v>166</v>
      </c>
      <c r="E6">
        <f t="shared" si="0"/>
        <v>494.68</v>
      </c>
      <c r="F6">
        <f t="shared" ref="F6:F12" si="2">E6^(-1/0.88)</f>
        <v>8.67496600719948E-4</v>
      </c>
      <c r="G6">
        <v>119.7</v>
      </c>
    </row>
    <row r="7" spans="1:7" x14ac:dyDescent="0.25">
      <c r="B7">
        <v>32</v>
      </c>
      <c r="C7">
        <f t="shared" si="1"/>
        <v>127.68</v>
      </c>
      <c r="D7">
        <v>163</v>
      </c>
      <c r="E7">
        <f t="shared" si="0"/>
        <v>485.74</v>
      </c>
      <c r="F7">
        <f t="shared" si="2"/>
        <v>8.8566265243566512E-4</v>
      </c>
      <c r="G7">
        <v>127.68</v>
      </c>
    </row>
    <row r="8" spans="1:7" x14ac:dyDescent="0.25">
      <c r="B8">
        <v>34</v>
      </c>
      <c r="C8">
        <f t="shared" si="1"/>
        <v>135.66</v>
      </c>
      <c r="D8">
        <v>158</v>
      </c>
      <c r="E8">
        <f t="shared" si="0"/>
        <v>470.84</v>
      </c>
      <c r="F8">
        <f t="shared" si="2"/>
        <v>9.1757995852826736E-4</v>
      </c>
      <c r="G8">
        <v>135.66</v>
      </c>
    </row>
    <row r="9" spans="1:7" x14ac:dyDescent="0.25">
      <c r="B9">
        <v>36</v>
      </c>
      <c r="C9">
        <f t="shared" si="1"/>
        <v>143.64000000000001</v>
      </c>
      <c r="D9">
        <v>156</v>
      </c>
      <c r="E9">
        <f t="shared" si="0"/>
        <v>464.88</v>
      </c>
      <c r="F9">
        <f t="shared" si="2"/>
        <v>9.3095960736544676E-4</v>
      </c>
      <c r="G9">
        <v>143.64000000000001</v>
      </c>
    </row>
    <row r="10" spans="1:7" x14ac:dyDescent="0.25">
      <c r="B10">
        <v>38</v>
      </c>
      <c r="C10">
        <f t="shared" si="1"/>
        <v>151.62</v>
      </c>
      <c r="D10">
        <v>155</v>
      </c>
      <c r="E10">
        <f t="shared" si="0"/>
        <v>461.9</v>
      </c>
      <c r="F10">
        <f t="shared" si="2"/>
        <v>9.3778782116372853E-4</v>
      </c>
      <c r="G10">
        <v>151.62</v>
      </c>
    </row>
    <row r="11" spans="1:7" x14ac:dyDescent="0.25">
      <c r="B11">
        <v>40</v>
      </c>
      <c r="C11">
        <f t="shared" si="1"/>
        <v>159.60000000000002</v>
      </c>
      <c r="D11">
        <v>154</v>
      </c>
      <c r="E11">
        <f t="shared" si="0"/>
        <v>458.92</v>
      </c>
      <c r="F11">
        <f t="shared" si="2"/>
        <v>9.4471080111264505E-4</v>
      </c>
      <c r="G11">
        <v>159.60000000000002</v>
      </c>
    </row>
    <row r="12" spans="1:7" x14ac:dyDescent="0.25">
      <c r="B12">
        <v>50</v>
      </c>
      <c r="C12">
        <f t="shared" si="1"/>
        <v>199.5</v>
      </c>
      <c r="D12">
        <v>147</v>
      </c>
      <c r="E12">
        <f t="shared" si="0"/>
        <v>438.06</v>
      </c>
      <c r="F12">
        <f t="shared" si="2"/>
        <v>9.9599526565887983E-4</v>
      </c>
      <c r="G12">
        <v>199.5</v>
      </c>
    </row>
    <row r="19" spans="1:7" x14ac:dyDescent="0.25">
      <c r="A19" t="s">
        <v>11</v>
      </c>
    </row>
    <row r="21" spans="1:7" x14ac:dyDescent="0.25">
      <c r="B21" t="s">
        <v>0</v>
      </c>
      <c r="C21" t="s">
        <v>4</v>
      </c>
      <c r="D21" t="s">
        <v>1</v>
      </c>
      <c r="E21" t="s">
        <v>2</v>
      </c>
      <c r="F21" t="s">
        <v>3</v>
      </c>
    </row>
    <row r="22" spans="1:7" x14ac:dyDescent="0.25">
      <c r="B22">
        <v>24</v>
      </c>
      <c r="C22">
        <f>B22*3.99</f>
        <v>95.76</v>
      </c>
      <c r="D22">
        <v>118</v>
      </c>
      <c r="E22">
        <f t="shared" ref="E22:E31" si="3">D22*2.98</f>
        <v>351.64</v>
      </c>
      <c r="F22">
        <f>E22^(-1/0.88)</f>
        <v>1.2785170080307229E-3</v>
      </c>
      <c r="G22">
        <v>95.76</v>
      </c>
    </row>
    <row r="23" spans="1:7" x14ac:dyDescent="0.25">
      <c r="B23">
        <v>26</v>
      </c>
      <c r="C23">
        <f t="shared" ref="C23:C31" si="4">B23*3.99</f>
        <v>103.74000000000001</v>
      </c>
      <c r="D23">
        <v>118</v>
      </c>
      <c r="E23">
        <f t="shared" si="3"/>
        <v>351.64</v>
      </c>
      <c r="F23">
        <f>E23^(-1/0.88)</f>
        <v>1.2785170080307229E-3</v>
      </c>
      <c r="G23">
        <v>103.74000000000001</v>
      </c>
    </row>
    <row r="24" spans="1:7" x14ac:dyDescent="0.25">
      <c r="B24">
        <v>28</v>
      </c>
      <c r="C24">
        <f t="shared" si="4"/>
        <v>111.72</v>
      </c>
      <c r="D24">
        <v>117</v>
      </c>
      <c r="E24">
        <f t="shared" si="3"/>
        <v>348.66</v>
      </c>
      <c r="F24">
        <f>E24^(-1/0.88)</f>
        <v>1.290941835523082E-3</v>
      </c>
      <c r="G24">
        <v>111.72</v>
      </c>
    </row>
    <row r="25" spans="1:7" x14ac:dyDescent="0.25">
      <c r="B25">
        <v>30</v>
      </c>
      <c r="C25">
        <f t="shared" si="4"/>
        <v>119.7</v>
      </c>
      <c r="D25">
        <v>117</v>
      </c>
      <c r="E25">
        <f t="shared" si="3"/>
        <v>348.66</v>
      </c>
      <c r="F25">
        <f t="shared" ref="F25:F31" si="5">E25^(-1/0.88)</f>
        <v>1.290941835523082E-3</v>
      </c>
      <c r="G25">
        <v>119.7</v>
      </c>
    </row>
    <row r="26" spans="1:7" x14ac:dyDescent="0.25">
      <c r="B26">
        <v>32</v>
      </c>
      <c r="C26">
        <f t="shared" si="4"/>
        <v>127.68</v>
      </c>
      <c r="D26">
        <v>115</v>
      </c>
      <c r="E26">
        <f t="shared" si="3"/>
        <v>342.7</v>
      </c>
      <c r="F26">
        <f t="shared" si="5"/>
        <v>1.316484621969535E-3</v>
      </c>
      <c r="G26">
        <v>127.68</v>
      </c>
    </row>
    <row r="27" spans="1:7" x14ac:dyDescent="0.25">
      <c r="B27">
        <v>34</v>
      </c>
      <c r="C27">
        <f t="shared" si="4"/>
        <v>135.66</v>
      </c>
      <c r="D27">
        <v>114</v>
      </c>
      <c r="E27">
        <f t="shared" si="3"/>
        <v>339.71999999999997</v>
      </c>
      <c r="F27">
        <f t="shared" si="5"/>
        <v>1.3296153039165969E-3</v>
      </c>
      <c r="G27">
        <v>135.66</v>
      </c>
    </row>
    <row r="28" spans="1:7" x14ac:dyDescent="0.25">
      <c r="B28">
        <v>36</v>
      </c>
      <c r="C28">
        <f t="shared" si="4"/>
        <v>143.64000000000001</v>
      </c>
      <c r="D28">
        <v>114</v>
      </c>
      <c r="E28">
        <f t="shared" si="3"/>
        <v>339.71999999999997</v>
      </c>
      <c r="F28">
        <f t="shared" si="5"/>
        <v>1.3296153039165969E-3</v>
      </c>
      <c r="G28">
        <v>143.64000000000001</v>
      </c>
    </row>
    <row r="29" spans="1:7" x14ac:dyDescent="0.25">
      <c r="B29">
        <v>38</v>
      </c>
      <c r="C29">
        <f t="shared" si="4"/>
        <v>151.62</v>
      </c>
      <c r="D29">
        <v>111</v>
      </c>
      <c r="E29">
        <f t="shared" si="3"/>
        <v>330.78</v>
      </c>
      <c r="F29">
        <f t="shared" si="5"/>
        <v>1.3705258268879013E-3</v>
      </c>
      <c r="G29">
        <v>151.62</v>
      </c>
    </row>
    <row r="30" spans="1:7" x14ac:dyDescent="0.25">
      <c r="B30">
        <v>40</v>
      </c>
      <c r="C30">
        <f t="shared" si="4"/>
        <v>159.60000000000002</v>
      </c>
      <c r="D30">
        <v>107</v>
      </c>
      <c r="E30">
        <f t="shared" si="3"/>
        <v>318.86</v>
      </c>
      <c r="F30">
        <f t="shared" si="5"/>
        <v>1.4288938023730643E-3</v>
      </c>
      <c r="G30">
        <v>159.60000000000002</v>
      </c>
    </row>
    <row r="31" spans="1:7" x14ac:dyDescent="0.25">
      <c r="B31">
        <v>50</v>
      </c>
      <c r="C31">
        <f t="shared" si="4"/>
        <v>199.5</v>
      </c>
      <c r="D31">
        <v>102</v>
      </c>
      <c r="E31">
        <f t="shared" si="3"/>
        <v>303.95999999999998</v>
      </c>
      <c r="F31">
        <f t="shared" si="5"/>
        <v>1.5087514015687832E-3</v>
      </c>
      <c r="G31">
        <v>199.5</v>
      </c>
    </row>
    <row r="34" spans="1:7" x14ac:dyDescent="0.25">
      <c r="A34" t="s">
        <v>31</v>
      </c>
    </row>
    <row r="36" spans="1:7" x14ac:dyDescent="0.25">
      <c r="B36" t="s">
        <v>0</v>
      </c>
      <c r="C36" t="s">
        <v>4</v>
      </c>
      <c r="D36" t="s">
        <v>1</v>
      </c>
      <c r="E36" t="s">
        <v>2</v>
      </c>
      <c r="F36" t="s">
        <v>3</v>
      </c>
    </row>
    <row r="37" spans="1:7" x14ac:dyDescent="0.25">
      <c r="B37">
        <v>24</v>
      </c>
      <c r="C37">
        <f>B37*3.99</f>
        <v>95.76</v>
      </c>
      <c r="E37">
        <f t="shared" ref="E37:E46" si="6">D37*2.98</f>
        <v>0</v>
      </c>
      <c r="F37" t="e">
        <f>E37^(-1/0.88)</f>
        <v>#DIV/0!</v>
      </c>
      <c r="G37">
        <v>95.76</v>
      </c>
    </row>
    <row r="38" spans="1:7" x14ac:dyDescent="0.25">
      <c r="B38">
        <v>26</v>
      </c>
      <c r="C38">
        <f t="shared" ref="C38:C46" si="7">B38*3.99</f>
        <v>103.74000000000001</v>
      </c>
      <c r="E38">
        <f t="shared" si="6"/>
        <v>0</v>
      </c>
      <c r="F38" t="e">
        <f>E38^(-1/0.88)</f>
        <v>#DIV/0!</v>
      </c>
      <c r="G38">
        <v>103.74000000000001</v>
      </c>
    </row>
    <row r="39" spans="1:7" x14ac:dyDescent="0.25">
      <c r="B39">
        <v>28</v>
      </c>
      <c r="C39">
        <f t="shared" si="7"/>
        <v>111.72</v>
      </c>
      <c r="D39">
        <v>18</v>
      </c>
      <c r="E39">
        <f t="shared" si="6"/>
        <v>53.64</v>
      </c>
      <c r="F39">
        <f>E39^(-1/0.88)</f>
        <v>1.0831082234429018E-2</v>
      </c>
      <c r="G39">
        <v>111.72</v>
      </c>
    </row>
    <row r="40" spans="1:7" x14ac:dyDescent="0.25">
      <c r="B40">
        <v>30</v>
      </c>
      <c r="C40">
        <f t="shared" si="7"/>
        <v>119.7</v>
      </c>
      <c r="D40">
        <v>18</v>
      </c>
      <c r="E40">
        <f t="shared" si="6"/>
        <v>53.64</v>
      </c>
      <c r="F40">
        <f t="shared" ref="F40:F46" si="8">E40^(-1/0.88)</f>
        <v>1.0831082234429018E-2</v>
      </c>
      <c r="G40">
        <v>119.7</v>
      </c>
    </row>
    <row r="41" spans="1:7" x14ac:dyDescent="0.25">
      <c r="B41">
        <v>32</v>
      </c>
      <c r="C41">
        <f t="shared" si="7"/>
        <v>127.68</v>
      </c>
      <c r="D41">
        <v>18</v>
      </c>
      <c r="E41">
        <f t="shared" si="6"/>
        <v>53.64</v>
      </c>
      <c r="F41">
        <f t="shared" si="8"/>
        <v>1.0831082234429018E-2</v>
      </c>
      <c r="G41">
        <v>127.68</v>
      </c>
    </row>
    <row r="42" spans="1:7" x14ac:dyDescent="0.25">
      <c r="B42">
        <v>34</v>
      </c>
      <c r="C42">
        <f t="shared" si="7"/>
        <v>135.66</v>
      </c>
      <c r="D42">
        <v>18</v>
      </c>
      <c r="E42">
        <f t="shared" si="6"/>
        <v>53.64</v>
      </c>
      <c r="F42">
        <f t="shared" si="8"/>
        <v>1.0831082234429018E-2</v>
      </c>
      <c r="G42">
        <v>135.66</v>
      </c>
    </row>
    <row r="43" spans="1:7" x14ac:dyDescent="0.25">
      <c r="B43">
        <v>36</v>
      </c>
      <c r="C43">
        <f t="shared" si="7"/>
        <v>143.64000000000001</v>
      </c>
      <c r="D43">
        <v>17</v>
      </c>
      <c r="E43">
        <f t="shared" si="6"/>
        <v>50.66</v>
      </c>
      <c r="F43">
        <f t="shared" si="8"/>
        <v>1.1557940943796448E-2</v>
      </c>
      <c r="G43">
        <v>143.64000000000001</v>
      </c>
    </row>
    <row r="44" spans="1:7" x14ac:dyDescent="0.25">
      <c r="B44">
        <v>38</v>
      </c>
      <c r="C44">
        <f t="shared" si="7"/>
        <v>151.62</v>
      </c>
      <c r="D44">
        <v>13</v>
      </c>
      <c r="E44">
        <f t="shared" si="6"/>
        <v>38.74</v>
      </c>
      <c r="F44">
        <f t="shared" si="8"/>
        <v>1.5677368375515564E-2</v>
      </c>
      <c r="G44">
        <v>151.62</v>
      </c>
    </row>
    <row r="45" spans="1:7" x14ac:dyDescent="0.25">
      <c r="B45">
        <v>40</v>
      </c>
      <c r="C45">
        <f t="shared" si="7"/>
        <v>159.60000000000002</v>
      </c>
      <c r="D45">
        <v>13</v>
      </c>
      <c r="E45">
        <f t="shared" si="6"/>
        <v>38.74</v>
      </c>
      <c r="F45">
        <f t="shared" si="8"/>
        <v>1.5677368375515564E-2</v>
      </c>
      <c r="G45">
        <v>159.60000000000002</v>
      </c>
    </row>
    <row r="46" spans="1:7" x14ac:dyDescent="0.25">
      <c r="B46">
        <v>50</v>
      </c>
      <c r="C46">
        <f t="shared" si="7"/>
        <v>199.5</v>
      </c>
      <c r="D46">
        <v>8</v>
      </c>
      <c r="E46">
        <f t="shared" si="6"/>
        <v>23.84</v>
      </c>
      <c r="F46">
        <f t="shared" si="8"/>
        <v>2.7219444648087589E-2</v>
      </c>
      <c r="G46">
        <v>199.5</v>
      </c>
    </row>
    <row r="50" spans="1:7" x14ac:dyDescent="0.25">
      <c r="A50" t="s">
        <v>32</v>
      </c>
    </row>
    <row r="52" spans="1:7" x14ac:dyDescent="0.25">
      <c r="B52" t="s">
        <v>0</v>
      </c>
      <c r="C52" t="s">
        <v>4</v>
      </c>
      <c r="D52" t="s">
        <v>1</v>
      </c>
      <c r="E52" t="s">
        <v>2</v>
      </c>
      <c r="F52" t="s">
        <v>3</v>
      </c>
    </row>
    <row r="53" spans="1:7" x14ac:dyDescent="0.25">
      <c r="B53">
        <v>24</v>
      </c>
      <c r="C53">
        <f>B53*3.99</f>
        <v>95.76</v>
      </c>
      <c r="E53">
        <f t="shared" ref="E53:E62" si="9">D53*2.98</f>
        <v>0</v>
      </c>
      <c r="F53" t="e">
        <f>E53^(-1/0.88)</f>
        <v>#DIV/0!</v>
      </c>
      <c r="G53">
        <v>95.76</v>
      </c>
    </row>
    <row r="54" spans="1:7" x14ac:dyDescent="0.25">
      <c r="B54">
        <v>26</v>
      </c>
      <c r="C54">
        <f t="shared" ref="C54:C62" si="10">B54*3.99</f>
        <v>103.74000000000001</v>
      </c>
      <c r="E54">
        <f t="shared" si="9"/>
        <v>0</v>
      </c>
      <c r="F54" t="e">
        <f>E54^(-1/0.88)</f>
        <v>#DIV/0!</v>
      </c>
      <c r="G54">
        <v>103.74000000000001</v>
      </c>
    </row>
    <row r="55" spans="1:7" x14ac:dyDescent="0.25">
      <c r="B55">
        <v>28</v>
      </c>
      <c r="C55">
        <f t="shared" si="10"/>
        <v>111.72</v>
      </c>
      <c r="D55">
        <v>434</v>
      </c>
      <c r="E55">
        <f t="shared" si="9"/>
        <v>1293.32</v>
      </c>
      <c r="F55">
        <f>E55^(-1/0.88)</f>
        <v>2.9105191548547482E-4</v>
      </c>
      <c r="G55">
        <v>111.72</v>
      </c>
    </row>
    <row r="56" spans="1:7" x14ac:dyDescent="0.25">
      <c r="B56">
        <v>30</v>
      </c>
      <c r="C56">
        <f t="shared" si="10"/>
        <v>119.7</v>
      </c>
      <c r="D56">
        <v>431</v>
      </c>
      <c r="E56">
        <f t="shared" si="9"/>
        <v>1284.3799999999999</v>
      </c>
      <c r="F56">
        <f t="shared" ref="F56:F62" si="11">E56^(-1/0.88)</f>
        <v>2.9335514609092752E-4</v>
      </c>
      <c r="G56">
        <v>119.7</v>
      </c>
    </row>
    <row r="57" spans="1:7" x14ac:dyDescent="0.25">
      <c r="B57">
        <v>32</v>
      </c>
      <c r="C57">
        <f t="shared" si="10"/>
        <v>127.68</v>
      </c>
      <c r="D57">
        <v>428</v>
      </c>
      <c r="E57">
        <f t="shared" si="9"/>
        <v>1275.44</v>
      </c>
      <c r="F57">
        <f t="shared" si="11"/>
        <v>2.9569288288034567E-4</v>
      </c>
      <c r="G57">
        <v>127.68</v>
      </c>
    </row>
    <row r="58" spans="1:7" x14ac:dyDescent="0.25">
      <c r="B58">
        <v>34</v>
      </c>
      <c r="C58">
        <f t="shared" si="10"/>
        <v>135.66</v>
      </c>
      <c r="D58">
        <v>426</v>
      </c>
      <c r="E58">
        <f t="shared" si="9"/>
        <v>1269.48</v>
      </c>
      <c r="F58">
        <f t="shared" si="11"/>
        <v>2.9727092069108124E-4</v>
      </c>
      <c r="G58">
        <v>135.66</v>
      </c>
    </row>
    <row r="59" spans="1:7" x14ac:dyDescent="0.25">
      <c r="B59">
        <v>36</v>
      </c>
      <c r="C59">
        <f t="shared" si="10"/>
        <v>143.64000000000001</v>
      </c>
      <c r="D59">
        <v>426</v>
      </c>
      <c r="E59">
        <f t="shared" si="9"/>
        <v>1269.48</v>
      </c>
      <c r="F59">
        <f t="shared" si="11"/>
        <v>2.9727092069108124E-4</v>
      </c>
      <c r="G59">
        <v>143.64000000000001</v>
      </c>
    </row>
    <row r="60" spans="1:7" x14ac:dyDescent="0.25">
      <c r="B60">
        <v>38</v>
      </c>
      <c r="C60">
        <f t="shared" si="10"/>
        <v>151.62</v>
      </c>
      <c r="D60">
        <v>425</v>
      </c>
      <c r="E60">
        <f t="shared" si="9"/>
        <v>1266.5</v>
      </c>
      <c r="F60">
        <f t="shared" si="11"/>
        <v>2.980658901535002E-4</v>
      </c>
      <c r="G60">
        <v>151.62</v>
      </c>
    </row>
    <row r="61" spans="1:7" x14ac:dyDescent="0.25">
      <c r="B61">
        <v>40</v>
      </c>
      <c r="C61">
        <f t="shared" si="10"/>
        <v>159.60000000000002</v>
      </c>
      <c r="D61">
        <v>414</v>
      </c>
      <c r="E61">
        <f t="shared" si="9"/>
        <v>1233.72</v>
      </c>
      <c r="F61">
        <f t="shared" si="11"/>
        <v>3.0708164452297791E-4</v>
      </c>
      <c r="G61">
        <v>159.60000000000002</v>
      </c>
    </row>
    <row r="62" spans="1:7" x14ac:dyDescent="0.25">
      <c r="B62">
        <v>50</v>
      </c>
      <c r="C62">
        <f t="shared" si="10"/>
        <v>199.5</v>
      </c>
      <c r="D62">
        <v>136</v>
      </c>
      <c r="E62">
        <f t="shared" si="9"/>
        <v>405.28</v>
      </c>
      <c r="F62">
        <f t="shared" si="11"/>
        <v>1.0880324533346709E-3</v>
      </c>
      <c r="G62">
        <v>199.5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topLeftCell="D1" workbookViewId="0">
      <selection activeCell="Q9" sqref="Q9:Q10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5.28515625" bestFit="1" customWidth="1"/>
    <col min="17" max="17" width="16.5703125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20</v>
      </c>
      <c r="C3">
        <f>B3*3.99</f>
        <v>79.800000000000011</v>
      </c>
      <c r="E3">
        <f t="shared" ref="E3:E9" si="0">D3*2.98</f>
        <v>0</v>
      </c>
      <c r="F3" t="e">
        <f t="shared" ref="F3:F9" si="1">E3^(-1/0.88)</f>
        <v>#DIV/0!</v>
      </c>
      <c r="G3">
        <v>79.800000000000011</v>
      </c>
      <c r="P3" t="s">
        <v>16</v>
      </c>
      <c r="Q3">
        <v>75.796000000000006</v>
      </c>
    </row>
    <row r="4" spans="1:17" x14ac:dyDescent="0.25">
      <c r="B4">
        <v>22</v>
      </c>
      <c r="C4">
        <f t="shared" ref="C4:C9" si="2">B4*3.99</f>
        <v>87.78</v>
      </c>
      <c r="D4">
        <v>45</v>
      </c>
      <c r="E4">
        <f t="shared" si="0"/>
        <v>134.1</v>
      </c>
      <c r="F4">
        <f t="shared" si="1"/>
        <v>3.8235546144592112E-3</v>
      </c>
      <c r="G4">
        <v>87.78</v>
      </c>
      <c r="P4" t="s">
        <v>17</v>
      </c>
      <c r="Q4">
        <v>92.501999999999995</v>
      </c>
    </row>
    <row r="5" spans="1:17" x14ac:dyDescent="0.25">
      <c r="B5">
        <v>24</v>
      </c>
      <c r="C5">
        <f t="shared" si="2"/>
        <v>95.76</v>
      </c>
      <c r="D5">
        <v>45</v>
      </c>
      <c r="E5">
        <f t="shared" si="0"/>
        <v>134.1</v>
      </c>
      <c r="F5">
        <f t="shared" si="1"/>
        <v>3.8235546144592112E-3</v>
      </c>
      <c r="G5">
        <v>95.76</v>
      </c>
      <c r="P5" t="s">
        <v>18</v>
      </c>
      <c r="Q5">
        <v>49.127000000000002</v>
      </c>
    </row>
    <row r="6" spans="1:17" x14ac:dyDescent="0.25">
      <c r="B6">
        <v>26</v>
      </c>
      <c r="C6">
        <f t="shared" si="2"/>
        <v>103.74000000000001</v>
      </c>
      <c r="D6">
        <v>43</v>
      </c>
      <c r="E6">
        <f t="shared" si="0"/>
        <v>128.13999999999999</v>
      </c>
      <c r="F6">
        <f t="shared" si="1"/>
        <v>4.026277718217495E-3</v>
      </c>
      <c r="G6">
        <v>103.74000000000001</v>
      </c>
      <c r="P6" t="s">
        <v>19</v>
      </c>
      <c r="Q6">
        <v>99.486999999999995</v>
      </c>
    </row>
    <row r="7" spans="1:17" x14ac:dyDescent="0.25">
      <c r="B7">
        <v>28</v>
      </c>
      <c r="C7">
        <f t="shared" si="2"/>
        <v>111.72</v>
      </c>
      <c r="D7">
        <v>24</v>
      </c>
      <c r="E7">
        <f t="shared" si="0"/>
        <v>71.52</v>
      </c>
      <c r="F7">
        <f t="shared" si="1"/>
        <v>7.8108089666342031E-3</v>
      </c>
      <c r="G7">
        <v>111.72</v>
      </c>
      <c r="P7" t="s">
        <v>20</v>
      </c>
      <c r="Q7">
        <v>87.480999999999995</v>
      </c>
    </row>
    <row r="8" spans="1:17" x14ac:dyDescent="0.25">
      <c r="B8">
        <v>30</v>
      </c>
      <c r="C8">
        <f t="shared" si="2"/>
        <v>119.7</v>
      </c>
      <c r="D8">
        <v>23</v>
      </c>
      <c r="E8">
        <f t="shared" si="0"/>
        <v>68.540000000000006</v>
      </c>
      <c r="F8">
        <f t="shared" si="1"/>
        <v>8.1978484653347193E-3</v>
      </c>
      <c r="G8">
        <v>119.7</v>
      </c>
      <c r="P8" t="s">
        <v>21</v>
      </c>
      <c r="Q8">
        <v>73.894000000000005</v>
      </c>
    </row>
    <row r="9" spans="1:17" x14ac:dyDescent="0.25">
      <c r="B9">
        <v>32</v>
      </c>
      <c r="C9">
        <f t="shared" si="2"/>
        <v>127.68</v>
      </c>
      <c r="D9">
        <v>19</v>
      </c>
      <c r="E9">
        <f t="shared" si="0"/>
        <v>56.62</v>
      </c>
      <c r="F9">
        <f t="shared" si="1"/>
        <v>1.0185650959234835E-2</v>
      </c>
      <c r="G9">
        <v>127.68</v>
      </c>
      <c r="P9" t="s">
        <v>22</v>
      </c>
      <c r="Q9">
        <f>AVERAGE(Q3:Q8)</f>
        <v>79.714500000000001</v>
      </c>
    </row>
    <row r="10" spans="1:17" x14ac:dyDescent="0.25">
      <c r="P10" t="s">
        <v>23</v>
      </c>
      <c r="Q10">
        <f>STDEV(Q3:Q8)</f>
        <v>17.886410783049751</v>
      </c>
    </row>
    <row r="18" spans="1:7" x14ac:dyDescent="0.25">
      <c r="A18" t="s">
        <v>13</v>
      </c>
    </row>
    <row r="19" spans="1:7" x14ac:dyDescent="0.25">
      <c r="B19" t="s">
        <v>0</v>
      </c>
      <c r="C19" t="s">
        <v>4</v>
      </c>
      <c r="D19" t="s">
        <v>1</v>
      </c>
      <c r="E19" t="s">
        <v>2</v>
      </c>
      <c r="F19" t="s">
        <v>3</v>
      </c>
    </row>
    <row r="20" spans="1:7" x14ac:dyDescent="0.25">
      <c r="B20">
        <v>20</v>
      </c>
      <c r="C20">
        <f>B20*3.99</f>
        <v>79.800000000000011</v>
      </c>
      <c r="E20">
        <f t="shared" ref="E20:E26" si="3">D20*2.98</f>
        <v>0</v>
      </c>
      <c r="F20" t="e">
        <f t="shared" ref="F20:F26" si="4">E20^(-1/0.88)</f>
        <v>#DIV/0!</v>
      </c>
      <c r="G20">
        <v>79.800000000000011</v>
      </c>
    </row>
    <row r="21" spans="1:7" x14ac:dyDescent="0.25">
      <c r="B21">
        <v>22</v>
      </c>
      <c r="C21">
        <f t="shared" ref="C21:C26" si="5">B21*3.99</f>
        <v>87.78</v>
      </c>
      <c r="D21">
        <v>258</v>
      </c>
      <c r="E21">
        <f t="shared" si="3"/>
        <v>768.84</v>
      </c>
      <c r="F21">
        <f t="shared" si="4"/>
        <v>5.2558255661673829E-4</v>
      </c>
      <c r="G21">
        <v>87.78</v>
      </c>
    </row>
    <row r="22" spans="1:7" x14ac:dyDescent="0.25">
      <c r="B22">
        <v>24</v>
      </c>
      <c r="C22">
        <f t="shared" si="5"/>
        <v>95.76</v>
      </c>
      <c r="D22">
        <v>144</v>
      </c>
      <c r="E22">
        <f t="shared" si="3"/>
        <v>429.12</v>
      </c>
      <c r="F22">
        <f t="shared" si="4"/>
        <v>1.0196079935951374E-3</v>
      </c>
      <c r="G22">
        <v>95.76</v>
      </c>
    </row>
    <row r="23" spans="1:7" x14ac:dyDescent="0.25">
      <c r="B23">
        <v>26</v>
      </c>
      <c r="C23">
        <f t="shared" si="5"/>
        <v>103.74000000000001</v>
      </c>
      <c r="D23">
        <v>85</v>
      </c>
      <c r="E23">
        <f t="shared" si="3"/>
        <v>253.3</v>
      </c>
      <c r="F23">
        <f t="shared" si="4"/>
        <v>1.8560786502070086E-3</v>
      </c>
      <c r="G23">
        <v>103.74000000000001</v>
      </c>
    </row>
    <row r="24" spans="1:7" x14ac:dyDescent="0.25">
      <c r="B24">
        <v>28</v>
      </c>
      <c r="C24">
        <f t="shared" si="5"/>
        <v>111.72</v>
      </c>
      <c r="D24">
        <v>83</v>
      </c>
      <c r="E24">
        <f t="shared" si="3"/>
        <v>247.34</v>
      </c>
      <c r="F24">
        <f t="shared" si="4"/>
        <v>1.9069851986305069E-3</v>
      </c>
      <c r="G24">
        <v>111.72</v>
      </c>
    </row>
    <row r="25" spans="1:7" x14ac:dyDescent="0.25">
      <c r="B25">
        <v>30</v>
      </c>
      <c r="C25">
        <f t="shared" si="5"/>
        <v>119.7</v>
      </c>
      <c r="D25">
        <v>30</v>
      </c>
      <c r="E25">
        <f t="shared" si="3"/>
        <v>89.4</v>
      </c>
      <c r="F25">
        <f t="shared" si="4"/>
        <v>6.0613728780730567E-3</v>
      </c>
      <c r="G25">
        <v>119.7</v>
      </c>
    </row>
    <row r="26" spans="1:7" x14ac:dyDescent="0.25">
      <c r="B26">
        <v>32</v>
      </c>
      <c r="C26">
        <f t="shared" si="5"/>
        <v>127.68</v>
      </c>
      <c r="D26">
        <v>26</v>
      </c>
      <c r="E26">
        <f t="shared" si="3"/>
        <v>77.48</v>
      </c>
      <c r="F26">
        <f t="shared" si="4"/>
        <v>7.1317091416131561E-3</v>
      </c>
      <c r="G26">
        <v>127.68</v>
      </c>
    </row>
    <row r="34" spans="1:7" x14ac:dyDescent="0.25">
      <c r="A34" t="s">
        <v>7</v>
      </c>
    </row>
    <row r="35" spans="1:7" x14ac:dyDescent="0.25">
      <c r="B35" t="s">
        <v>0</v>
      </c>
      <c r="C35" t="s">
        <v>4</v>
      </c>
      <c r="D35" t="s">
        <v>1</v>
      </c>
      <c r="E35" t="s">
        <v>2</v>
      </c>
      <c r="F35" t="s">
        <v>3</v>
      </c>
    </row>
    <row r="36" spans="1:7" x14ac:dyDescent="0.25">
      <c r="B36">
        <v>24</v>
      </c>
      <c r="C36">
        <f>B36*3.99</f>
        <v>95.76</v>
      </c>
      <c r="D36">
        <v>80</v>
      </c>
      <c r="E36">
        <f t="shared" ref="E36:E45" si="6">D36*2.98</f>
        <v>238.4</v>
      </c>
      <c r="F36">
        <f>E36^(-1/0.88)</f>
        <v>1.9884543439480438E-3</v>
      </c>
      <c r="G36">
        <v>95.76</v>
      </c>
    </row>
    <row r="37" spans="1:7" x14ac:dyDescent="0.25">
      <c r="B37">
        <v>26</v>
      </c>
      <c r="C37">
        <f t="shared" ref="C37:C45" si="7">B37*3.99</f>
        <v>103.74000000000001</v>
      </c>
      <c r="D37">
        <v>58</v>
      </c>
      <c r="E37">
        <f t="shared" si="6"/>
        <v>172.84</v>
      </c>
      <c r="F37">
        <f>E37^(-1/0.88)</f>
        <v>2.8656453041757948E-3</v>
      </c>
      <c r="G37">
        <v>103.74000000000001</v>
      </c>
    </row>
    <row r="38" spans="1:7" x14ac:dyDescent="0.25">
      <c r="B38">
        <v>28</v>
      </c>
      <c r="C38">
        <f t="shared" si="7"/>
        <v>111.72</v>
      </c>
      <c r="D38">
        <v>57</v>
      </c>
      <c r="E38">
        <f t="shared" si="6"/>
        <v>169.85999999999999</v>
      </c>
      <c r="F38">
        <f>E38^(-1/0.88)</f>
        <v>2.9228433890545022E-3</v>
      </c>
      <c r="G38">
        <v>111.72</v>
      </c>
    </row>
    <row r="39" spans="1:7" x14ac:dyDescent="0.25">
      <c r="B39">
        <v>30</v>
      </c>
      <c r="C39">
        <f t="shared" si="7"/>
        <v>119.7</v>
      </c>
      <c r="D39">
        <v>55</v>
      </c>
      <c r="E39">
        <f t="shared" si="6"/>
        <v>163.9</v>
      </c>
      <c r="F39">
        <f t="shared" ref="F39:F45" si="8">E39^(-1/0.88)</f>
        <v>3.0439184099768663E-3</v>
      </c>
      <c r="G39">
        <v>119.7</v>
      </c>
    </row>
    <row r="40" spans="1:7" x14ac:dyDescent="0.25">
      <c r="B40">
        <v>32</v>
      </c>
      <c r="C40">
        <f t="shared" si="7"/>
        <v>127.68</v>
      </c>
      <c r="D40">
        <v>42</v>
      </c>
      <c r="E40">
        <f t="shared" si="6"/>
        <v>125.16</v>
      </c>
      <c r="F40">
        <f t="shared" si="8"/>
        <v>4.1353894490911668E-3</v>
      </c>
      <c r="G40">
        <v>127.68</v>
      </c>
    </row>
    <row r="41" spans="1:7" x14ac:dyDescent="0.25">
      <c r="B41">
        <v>34</v>
      </c>
      <c r="C41">
        <f t="shared" si="7"/>
        <v>135.66</v>
      </c>
      <c r="D41">
        <v>40</v>
      </c>
      <c r="E41">
        <f t="shared" si="6"/>
        <v>119.2</v>
      </c>
      <c r="F41">
        <f t="shared" si="8"/>
        <v>4.3711445081334706E-3</v>
      </c>
      <c r="G41">
        <v>135.66</v>
      </c>
    </row>
    <row r="42" spans="1:7" x14ac:dyDescent="0.25">
      <c r="B42">
        <v>36</v>
      </c>
      <c r="C42">
        <f t="shared" si="7"/>
        <v>143.64000000000001</v>
      </c>
      <c r="D42">
        <v>36</v>
      </c>
      <c r="E42">
        <f t="shared" si="6"/>
        <v>107.28</v>
      </c>
      <c r="F42">
        <f t="shared" si="8"/>
        <v>4.9271106179707355E-3</v>
      </c>
      <c r="G42">
        <v>143.64000000000001</v>
      </c>
    </row>
    <row r="43" spans="1:7" x14ac:dyDescent="0.25">
      <c r="B43">
        <v>38</v>
      </c>
      <c r="C43">
        <f t="shared" si="7"/>
        <v>151.62</v>
      </c>
      <c r="D43">
        <v>35</v>
      </c>
      <c r="E43">
        <f t="shared" si="6"/>
        <v>104.3</v>
      </c>
      <c r="F43">
        <f t="shared" si="8"/>
        <v>5.0873908443554222E-3</v>
      </c>
      <c r="G43">
        <v>151.62</v>
      </c>
    </row>
    <row r="44" spans="1:7" x14ac:dyDescent="0.25">
      <c r="B44">
        <v>40</v>
      </c>
      <c r="C44">
        <f t="shared" si="7"/>
        <v>159.60000000000002</v>
      </c>
      <c r="D44">
        <v>34</v>
      </c>
      <c r="E44">
        <f t="shared" si="6"/>
        <v>101.32</v>
      </c>
      <c r="F44">
        <f t="shared" si="8"/>
        <v>5.2577620881723644E-3</v>
      </c>
      <c r="G44">
        <v>159.60000000000002</v>
      </c>
    </row>
    <row r="45" spans="1:7" x14ac:dyDescent="0.25">
      <c r="B45">
        <v>50</v>
      </c>
      <c r="C45">
        <f t="shared" si="7"/>
        <v>199.5</v>
      </c>
      <c r="D45">
        <v>27</v>
      </c>
      <c r="E45">
        <f t="shared" si="6"/>
        <v>80.459999999999994</v>
      </c>
      <c r="F45">
        <f t="shared" si="8"/>
        <v>6.8323192270269553E-3</v>
      </c>
      <c r="G45">
        <v>199.5</v>
      </c>
    </row>
    <row r="50" spans="1:7" x14ac:dyDescent="0.25">
      <c r="A50" t="s">
        <v>29</v>
      </c>
    </row>
    <row r="51" spans="1:7" x14ac:dyDescent="0.25">
      <c r="B51" t="s">
        <v>0</v>
      </c>
      <c r="C51" t="s">
        <v>4</v>
      </c>
      <c r="D51" t="s">
        <v>1</v>
      </c>
      <c r="E51" t="s">
        <v>2</v>
      </c>
      <c r="F51" t="s">
        <v>3</v>
      </c>
    </row>
    <row r="52" spans="1:7" x14ac:dyDescent="0.25">
      <c r="B52">
        <v>24</v>
      </c>
      <c r="C52">
        <f>B52*3.99</f>
        <v>95.76</v>
      </c>
      <c r="D52">
        <v>49</v>
      </c>
      <c r="E52">
        <f t="shared" ref="E52:E61" si="9">D52*2.98</f>
        <v>146.02000000000001</v>
      </c>
      <c r="F52">
        <f>E52^(-1/0.88)</f>
        <v>3.4708873458777541E-3</v>
      </c>
      <c r="G52">
        <v>95.76</v>
      </c>
    </row>
    <row r="53" spans="1:7" x14ac:dyDescent="0.25">
      <c r="B53">
        <v>26</v>
      </c>
      <c r="C53">
        <f t="shared" ref="C53:C61" si="10">B53*3.99</f>
        <v>103.74000000000001</v>
      </c>
      <c r="D53">
        <v>43</v>
      </c>
      <c r="E53">
        <f t="shared" si="9"/>
        <v>128.13999999999999</v>
      </c>
      <c r="F53">
        <f>E53^(-1/0.88)</f>
        <v>4.026277718217495E-3</v>
      </c>
      <c r="G53">
        <v>103.74000000000001</v>
      </c>
    </row>
    <row r="54" spans="1:7" x14ac:dyDescent="0.25">
      <c r="B54">
        <v>28</v>
      </c>
      <c r="C54">
        <f t="shared" si="10"/>
        <v>111.72</v>
      </c>
      <c r="D54">
        <v>42</v>
      </c>
      <c r="E54">
        <f t="shared" si="9"/>
        <v>125.16</v>
      </c>
      <c r="F54">
        <f>E54^(-1/0.88)</f>
        <v>4.1353894490911668E-3</v>
      </c>
      <c r="G54">
        <v>111.72</v>
      </c>
    </row>
    <row r="55" spans="1:7" x14ac:dyDescent="0.25">
      <c r="B55">
        <v>30</v>
      </c>
      <c r="C55">
        <f t="shared" si="10"/>
        <v>119.7</v>
      </c>
      <c r="D55">
        <v>41</v>
      </c>
      <c r="E55">
        <f t="shared" si="9"/>
        <v>122.17999999999999</v>
      </c>
      <c r="F55">
        <f t="shared" ref="F55:F61" si="11">E55^(-1/0.88)</f>
        <v>4.2501959551075989E-3</v>
      </c>
      <c r="G55">
        <v>119.7</v>
      </c>
    </row>
    <row r="56" spans="1:7" x14ac:dyDescent="0.25">
      <c r="B56">
        <v>32</v>
      </c>
      <c r="C56">
        <f t="shared" si="10"/>
        <v>127.68</v>
      </c>
      <c r="D56">
        <v>40</v>
      </c>
      <c r="E56">
        <f t="shared" si="9"/>
        <v>119.2</v>
      </c>
      <c r="F56">
        <f t="shared" si="11"/>
        <v>4.3711445081334706E-3</v>
      </c>
      <c r="G56">
        <v>127.68</v>
      </c>
    </row>
    <row r="57" spans="1:7" x14ac:dyDescent="0.25">
      <c r="B57">
        <v>34</v>
      </c>
      <c r="C57">
        <f t="shared" si="10"/>
        <v>135.66</v>
      </c>
      <c r="D57">
        <v>23</v>
      </c>
      <c r="E57">
        <f t="shared" si="9"/>
        <v>68.540000000000006</v>
      </c>
      <c r="F57">
        <f t="shared" si="11"/>
        <v>8.1978484653347193E-3</v>
      </c>
      <c r="G57">
        <v>135.66</v>
      </c>
    </row>
    <row r="58" spans="1:7" x14ac:dyDescent="0.25">
      <c r="B58">
        <v>36</v>
      </c>
      <c r="C58">
        <f t="shared" si="10"/>
        <v>143.64000000000001</v>
      </c>
      <c r="D58">
        <v>19</v>
      </c>
      <c r="E58">
        <f t="shared" si="9"/>
        <v>56.62</v>
      </c>
      <c r="F58">
        <f t="shared" si="11"/>
        <v>1.0185650959234835E-2</v>
      </c>
      <c r="G58">
        <v>143.64000000000001</v>
      </c>
    </row>
    <row r="59" spans="1:7" x14ac:dyDescent="0.25">
      <c r="B59">
        <v>38</v>
      </c>
      <c r="C59">
        <f t="shared" si="10"/>
        <v>151.62</v>
      </c>
      <c r="D59">
        <v>18</v>
      </c>
      <c r="E59">
        <f t="shared" si="9"/>
        <v>53.64</v>
      </c>
      <c r="F59">
        <f t="shared" si="11"/>
        <v>1.0831082234429018E-2</v>
      </c>
      <c r="G59">
        <v>151.62</v>
      </c>
    </row>
    <row r="60" spans="1:7" x14ac:dyDescent="0.25">
      <c r="B60">
        <v>40</v>
      </c>
      <c r="C60">
        <f t="shared" si="10"/>
        <v>159.60000000000002</v>
      </c>
      <c r="D60">
        <v>17</v>
      </c>
      <c r="E60">
        <f t="shared" si="9"/>
        <v>50.66</v>
      </c>
      <c r="F60">
        <f t="shared" si="11"/>
        <v>1.1557940943796448E-2</v>
      </c>
      <c r="G60">
        <v>159.60000000000002</v>
      </c>
    </row>
    <row r="61" spans="1:7" x14ac:dyDescent="0.25">
      <c r="B61">
        <v>50</v>
      </c>
      <c r="C61">
        <f t="shared" si="10"/>
        <v>199.5</v>
      </c>
      <c r="D61">
        <v>8</v>
      </c>
      <c r="E61">
        <f t="shared" si="9"/>
        <v>23.84</v>
      </c>
      <c r="F61">
        <f t="shared" si="11"/>
        <v>2.7219444648087589E-2</v>
      </c>
      <c r="G61">
        <v>199.5</v>
      </c>
    </row>
    <row r="66" spans="1:7" x14ac:dyDescent="0.25">
      <c r="A66" t="s">
        <v>31</v>
      </c>
    </row>
    <row r="67" spans="1:7" x14ac:dyDescent="0.25">
      <c r="B67" t="s">
        <v>0</v>
      </c>
      <c r="C67" t="s">
        <v>4</v>
      </c>
      <c r="D67" t="s">
        <v>1</v>
      </c>
      <c r="E67" t="s">
        <v>2</v>
      </c>
      <c r="F67" t="s">
        <v>3</v>
      </c>
    </row>
    <row r="68" spans="1:7" x14ac:dyDescent="0.25">
      <c r="B68">
        <v>20</v>
      </c>
      <c r="C68">
        <f>B68*3.99</f>
        <v>79.800000000000011</v>
      </c>
      <c r="E68">
        <f t="shared" ref="E68:E76" si="12">D68*2.98</f>
        <v>0</v>
      </c>
      <c r="F68" t="e">
        <f>E68^(-1/0.88)</f>
        <v>#DIV/0!</v>
      </c>
      <c r="G68">
        <v>79.800000000000011</v>
      </c>
    </row>
    <row r="69" spans="1:7" x14ac:dyDescent="0.25">
      <c r="B69">
        <v>22</v>
      </c>
      <c r="C69">
        <f t="shared" ref="C69:C76" si="13">B69*3.99</f>
        <v>87.78</v>
      </c>
      <c r="D69">
        <v>259</v>
      </c>
      <c r="E69">
        <f t="shared" si="12"/>
        <v>771.82</v>
      </c>
      <c r="F69">
        <f>E69^(-1/0.88)</f>
        <v>5.2327716857353821E-4</v>
      </c>
      <c r="G69">
        <v>87.78</v>
      </c>
    </row>
    <row r="70" spans="1:7" x14ac:dyDescent="0.25">
      <c r="B70">
        <v>24</v>
      </c>
      <c r="C70">
        <f t="shared" si="13"/>
        <v>95.76</v>
      </c>
      <c r="D70">
        <v>103</v>
      </c>
      <c r="E70">
        <f t="shared" si="12"/>
        <v>306.94</v>
      </c>
      <c r="F70">
        <f>E70^(-1/0.88)</f>
        <v>1.492116914970118E-3</v>
      </c>
      <c r="G70">
        <v>95.76</v>
      </c>
    </row>
    <row r="71" spans="1:7" x14ac:dyDescent="0.25">
      <c r="B71">
        <v>26</v>
      </c>
      <c r="C71">
        <f t="shared" si="13"/>
        <v>103.74000000000001</v>
      </c>
      <c r="D71">
        <v>47</v>
      </c>
      <c r="E71">
        <f t="shared" si="12"/>
        <v>140.06</v>
      </c>
      <c r="F71">
        <f t="shared" ref="F71:F76" si="14">E71^(-1/0.88)</f>
        <v>3.6392063325281759E-3</v>
      </c>
      <c r="G71">
        <v>103.74000000000001</v>
      </c>
    </row>
    <row r="72" spans="1:7" x14ac:dyDescent="0.25">
      <c r="B72">
        <v>28</v>
      </c>
      <c r="C72">
        <f t="shared" si="13"/>
        <v>111.72</v>
      </c>
      <c r="D72">
        <v>43</v>
      </c>
      <c r="E72">
        <f t="shared" si="12"/>
        <v>128.13999999999999</v>
      </c>
      <c r="F72">
        <f t="shared" si="14"/>
        <v>4.026277718217495E-3</v>
      </c>
      <c r="G72">
        <v>111.72</v>
      </c>
    </row>
    <row r="73" spans="1:7" x14ac:dyDescent="0.25">
      <c r="B73">
        <v>30</v>
      </c>
      <c r="C73">
        <f t="shared" si="13"/>
        <v>119.7</v>
      </c>
      <c r="D73">
        <v>33</v>
      </c>
      <c r="E73">
        <f t="shared" si="12"/>
        <v>98.34</v>
      </c>
      <c r="F73">
        <f t="shared" si="14"/>
        <v>5.4391853589170489E-3</v>
      </c>
      <c r="G73">
        <v>119.7</v>
      </c>
    </row>
    <row r="74" spans="1:7" x14ac:dyDescent="0.25">
      <c r="B74">
        <v>32</v>
      </c>
      <c r="C74">
        <f t="shared" si="13"/>
        <v>127.68</v>
      </c>
      <c r="D74">
        <v>24</v>
      </c>
      <c r="E74">
        <f t="shared" si="12"/>
        <v>71.52</v>
      </c>
      <c r="F74">
        <f t="shared" si="14"/>
        <v>7.8108089666342031E-3</v>
      </c>
      <c r="G74">
        <v>127.68</v>
      </c>
    </row>
    <row r="75" spans="1:7" x14ac:dyDescent="0.25">
      <c r="B75">
        <v>34</v>
      </c>
      <c r="C75">
        <f t="shared" si="13"/>
        <v>135.66</v>
      </c>
      <c r="D75">
        <v>19</v>
      </c>
      <c r="E75">
        <f t="shared" si="12"/>
        <v>56.62</v>
      </c>
      <c r="F75">
        <f t="shared" si="14"/>
        <v>1.0185650959234835E-2</v>
      </c>
      <c r="G75">
        <v>135.66</v>
      </c>
    </row>
    <row r="76" spans="1:7" x14ac:dyDescent="0.25">
      <c r="B76">
        <v>36</v>
      </c>
      <c r="C76">
        <f t="shared" si="13"/>
        <v>143.64000000000001</v>
      </c>
      <c r="D76">
        <v>19</v>
      </c>
      <c r="E76">
        <f t="shared" si="12"/>
        <v>56.62</v>
      </c>
      <c r="F76">
        <f t="shared" si="14"/>
        <v>1.0185650959234835E-2</v>
      </c>
      <c r="G76">
        <v>143.64000000000001</v>
      </c>
    </row>
    <row r="81" spans="1:7" x14ac:dyDescent="0.25">
      <c r="A81" t="s">
        <v>32</v>
      </c>
    </row>
    <row r="82" spans="1:7" x14ac:dyDescent="0.25">
      <c r="B82" t="s">
        <v>0</v>
      </c>
      <c r="C82" t="s">
        <v>4</v>
      </c>
      <c r="D82" t="s">
        <v>1</v>
      </c>
      <c r="E82" t="s">
        <v>2</v>
      </c>
      <c r="F82" t="s">
        <v>3</v>
      </c>
    </row>
    <row r="83" spans="1:7" x14ac:dyDescent="0.25">
      <c r="B83">
        <v>20</v>
      </c>
      <c r="C83">
        <f>B83*3.99</f>
        <v>79.800000000000011</v>
      </c>
      <c r="E83">
        <f t="shared" ref="E83:E91" si="15">D83*2.98</f>
        <v>0</v>
      </c>
      <c r="F83" t="e">
        <f>E83^(-1/0.88)</f>
        <v>#DIV/0!</v>
      </c>
      <c r="G83">
        <v>79.800000000000011</v>
      </c>
    </row>
    <row r="84" spans="1:7" x14ac:dyDescent="0.25">
      <c r="B84">
        <v>22</v>
      </c>
      <c r="C84">
        <f t="shared" ref="C84:C91" si="16">B84*3.99</f>
        <v>87.78</v>
      </c>
      <c r="D84">
        <v>100</v>
      </c>
      <c r="E84">
        <f t="shared" si="15"/>
        <v>298</v>
      </c>
      <c r="F84">
        <f>E84^(-1/0.88)</f>
        <v>1.5430876982370939E-3</v>
      </c>
      <c r="G84">
        <v>87.78</v>
      </c>
    </row>
    <row r="85" spans="1:7" x14ac:dyDescent="0.25">
      <c r="B85">
        <v>24</v>
      </c>
      <c r="C85">
        <f t="shared" si="16"/>
        <v>95.76</v>
      </c>
      <c r="D85">
        <v>93</v>
      </c>
      <c r="E85">
        <f t="shared" si="15"/>
        <v>277.14</v>
      </c>
      <c r="F85">
        <f>E85^(-1/0.88)</f>
        <v>1.6757353843407509E-3</v>
      </c>
      <c r="G85">
        <v>95.76</v>
      </c>
    </row>
    <row r="86" spans="1:7" x14ac:dyDescent="0.25">
      <c r="B86">
        <v>26</v>
      </c>
      <c r="C86">
        <f t="shared" si="16"/>
        <v>103.74000000000001</v>
      </c>
      <c r="D86">
        <v>36</v>
      </c>
      <c r="E86">
        <f t="shared" si="15"/>
        <v>107.28</v>
      </c>
      <c r="F86">
        <f t="shared" ref="F86:F91" si="17">E86^(-1/0.88)</f>
        <v>4.9271106179707355E-3</v>
      </c>
      <c r="G86">
        <v>103.74000000000001</v>
      </c>
    </row>
    <row r="87" spans="1:7" x14ac:dyDescent="0.25">
      <c r="B87">
        <v>28</v>
      </c>
      <c r="C87">
        <f t="shared" si="16"/>
        <v>111.72</v>
      </c>
      <c r="D87">
        <v>36</v>
      </c>
      <c r="E87">
        <f t="shared" si="15"/>
        <v>107.28</v>
      </c>
      <c r="F87">
        <f t="shared" si="17"/>
        <v>4.9271106179707355E-3</v>
      </c>
      <c r="G87">
        <v>111.72</v>
      </c>
    </row>
    <row r="88" spans="1:7" x14ac:dyDescent="0.25">
      <c r="B88">
        <v>30</v>
      </c>
      <c r="C88">
        <f t="shared" si="16"/>
        <v>119.7</v>
      </c>
      <c r="D88">
        <v>35</v>
      </c>
      <c r="E88">
        <f t="shared" si="15"/>
        <v>104.3</v>
      </c>
      <c r="F88">
        <f t="shared" si="17"/>
        <v>5.0873908443554222E-3</v>
      </c>
      <c r="G88">
        <v>119.7</v>
      </c>
    </row>
    <row r="89" spans="1:7" x14ac:dyDescent="0.25">
      <c r="B89">
        <v>32</v>
      </c>
      <c r="C89">
        <f t="shared" si="16"/>
        <v>127.68</v>
      </c>
      <c r="D89">
        <v>34</v>
      </c>
      <c r="E89">
        <f t="shared" si="15"/>
        <v>101.32</v>
      </c>
      <c r="F89">
        <f t="shared" si="17"/>
        <v>5.2577620881723644E-3</v>
      </c>
      <c r="G89">
        <v>127.68</v>
      </c>
    </row>
    <row r="90" spans="1:7" x14ac:dyDescent="0.25">
      <c r="B90">
        <v>34</v>
      </c>
      <c r="C90">
        <f t="shared" si="16"/>
        <v>135.66</v>
      </c>
      <c r="D90">
        <v>28</v>
      </c>
      <c r="E90">
        <f t="shared" si="15"/>
        <v>83.44</v>
      </c>
      <c r="F90">
        <f t="shared" si="17"/>
        <v>6.5557158127675817E-3</v>
      </c>
      <c r="G90">
        <v>135.66</v>
      </c>
    </row>
    <row r="91" spans="1:7" x14ac:dyDescent="0.25">
      <c r="B91">
        <v>36</v>
      </c>
      <c r="C91">
        <f t="shared" si="16"/>
        <v>143.64000000000001</v>
      </c>
      <c r="D91">
        <v>28</v>
      </c>
      <c r="E91">
        <f t="shared" si="15"/>
        <v>83.44</v>
      </c>
      <c r="F91">
        <f t="shared" si="17"/>
        <v>6.5557158127675817E-3</v>
      </c>
      <c r="G91">
        <v>143.64000000000001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4"/>
  <sheetViews>
    <sheetView workbookViewId="0">
      <selection sqref="A1:G14"/>
    </sheetView>
  </sheetViews>
  <sheetFormatPr defaultRowHeight="15" x14ac:dyDescent="0.25"/>
  <cols>
    <col min="1" max="1" width="10.42578125" bestFit="1" customWidth="1"/>
    <col min="2" max="2" width="6.28515625" bestFit="1" customWidth="1"/>
    <col min="3" max="3" width="19.140625" bestFit="1" customWidth="1"/>
    <col min="4" max="4" width="13.7109375" bestFit="1" customWidth="1"/>
    <col min="5" max="5" width="17.7109375" bestFit="1" customWidth="1"/>
    <col min="6" max="6" width="12" bestFit="1" customWidth="1"/>
    <col min="7" max="7" width="7" bestFit="1" customWidth="1"/>
    <col min="18" max="18" width="15.28515625" bestFit="1" customWidth="1"/>
    <col min="19" max="19" width="17.42578125" bestFit="1" customWidth="1"/>
  </cols>
  <sheetData>
    <row r="1" spans="1:19" x14ac:dyDescent="0.25">
      <c r="A1" t="s">
        <v>5</v>
      </c>
      <c r="R1" t="s">
        <v>14</v>
      </c>
      <c r="S1" t="s">
        <v>15</v>
      </c>
    </row>
    <row r="2" spans="1:19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R2" t="s">
        <v>16</v>
      </c>
      <c r="S2">
        <v>107.98</v>
      </c>
    </row>
    <row r="3" spans="1:19" x14ac:dyDescent="0.25">
      <c r="B3">
        <v>24</v>
      </c>
      <c r="C3">
        <f>B3*3.99</f>
        <v>95.76</v>
      </c>
      <c r="E3">
        <f t="shared" ref="E3:E14" si="0">D3*2.98</f>
        <v>0</v>
      </c>
      <c r="F3" t="e">
        <f>E3^(-1/0.88)</f>
        <v>#DIV/0!</v>
      </c>
      <c r="G3">
        <v>95.76</v>
      </c>
      <c r="R3" t="s">
        <v>17</v>
      </c>
      <c r="S3">
        <v>106.23</v>
      </c>
    </row>
    <row r="4" spans="1:19" x14ac:dyDescent="0.25">
      <c r="B4">
        <v>26</v>
      </c>
      <c r="C4">
        <f t="shared" ref="C4:C14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R4" t="s">
        <v>18</v>
      </c>
    </row>
    <row r="5" spans="1:19" x14ac:dyDescent="0.25">
      <c r="B5">
        <v>28</v>
      </c>
      <c r="C5">
        <f t="shared" si="1"/>
        <v>111.72</v>
      </c>
      <c r="D5">
        <v>218</v>
      </c>
      <c r="E5">
        <f t="shared" si="0"/>
        <v>649.64</v>
      </c>
      <c r="F5">
        <f>E5^(-1/0.88)</f>
        <v>6.3647442468848018E-4</v>
      </c>
      <c r="G5">
        <v>111.72</v>
      </c>
      <c r="R5" t="s">
        <v>19</v>
      </c>
    </row>
    <row r="6" spans="1:19" x14ac:dyDescent="0.25">
      <c r="B6">
        <v>30</v>
      </c>
      <c r="C6">
        <f t="shared" si="1"/>
        <v>119.7</v>
      </c>
      <c r="D6">
        <v>216</v>
      </c>
      <c r="E6">
        <f t="shared" si="0"/>
        <v>643.67999999999995</v>
      </c>
      <c r="F6">
        <f t="shared" ref="F6:F12" si="2">E6^(-1/0.88)</f>
        <v>6.431755523493793E-4</v>
      </c>
      <c r="G6">
        <v>119.7</v>
      </c>
      <c r="R6" t="s">
        <v>20</v>
      </c>
      <c r="S6">
        <v>102.44</v>
      </c>
    </row>
    <row r="7" spans="1:19" x14ac:dyDescent="0.25">
      <c r="B7">
        <v>32</v>
      </c>
      <c r="C7">
        <f t="shared" si="1"/>
        <v>127.68</v>
      </c>
      <c r="D7">
        <v>112</v>
      </c>
      <c r="E7">
        <f t="shared" si="0"/>
        <v>333.76</v>
      </c>
      <c r="F7">
        <f t="shared" si="2"/>
        <v>1.3566288165027698E-3</v>
      </c>
      <c r="G7">
        <v>127.68</v>
      </c>
      <c r="R7" t="s">
        <v>21</v>
      </c>
      <c r="S7">
        <v>132.24</v>
      </c>
    </row>
    <row r="8" spans="1:19" x14ac:dyDescent="0.25">
      <c r="B8">
        <v>34</v>
      </c>
      <c r="C8">
        <f t="shared" si="1"/>
        <v>135.66</v>
      </c>
      <c r="D8">
        <v>83</v>
      </c>
      <c r="E8">
        <f t="shared" si="0"/>
        <v>247.34</v>
      </c>
      <c r="F8">
        <f t="shared" si="2"/>
        <v>1.9069851986305069E-3</v>
      </c>
      <c r="G8">
        <v>135.66</v>
      </c>
      <c r="R8" t="s">
        <v>22</v>
      </c>
      <c r="S8">
        <f>AVERAGE(S2:S7)</f>
        <v>112.2225</v>
      </c>
    </row>
    <row r="9" spans="1:19" x14ac:dyDescent="0.25">
      <c r="B9">
        <v>36</v>
      </c>
      <c r="C9">
        <f t="shared" si="1"/>
        <v>143.64000000000001</v>
      </c>
      <c r="D9">
        <v>78</v>
      </c>
      <c r="E9">
        <f t="shared" si="0"/>
        <v>232.44</v>
      </c>
      <c r="F9">
        <f t="shared" si="2"/>
        <v>2.0464935427936043E-3</v>
      </c>
      <c r="G9">
        <v>143.64000000000001</v>
      </c>
      <c r="R9" t="s">
        <v>23</v>
      </c>
      <c r="S9">
        <f>STDEV(S2:S7)</f>
        <v>13.543835928815303</v>
      </c>
    </row>
    <row r="10" spans="1:19" x14ac:dyDescent="0.25">
      <c r="B10">
        <v>38</v>
      </c>
      <c r="C10">
        <f t="shared" si="1"/>
        <v>151.62</v>
      </c>
      <c r="D10">
        <v>44</v>
      </c>
      <c r="E10">
        <f t="shared" si="0"/>
        <v>131.12</v>
      </c>
      <c r="F10">
        <f t="shared" si="2"/>
        <v>3.922455471491895E-3</v>
      </c>
      <c r="G10">
        <v>151.62</v>
      </c>
    </row>
    <row r="11" spans="1:19" x14ac:dyDescent="0.25">
      <c r="B11">
        <v>40</v>
      </c>
      <c r="C11">
        <f t="shared" si="1"/>
        <v>159.60000000000002</v>
      </c>
      <c r="D11">
        <v>44</v>
      </c>
      <c r="E11">
        <f t="shared" si="0"/>
        <v>131.12</v>
      </c>
      <c r="F11">
        <f t="shared" si="2"/>
        <v>3.922455471491895E-3</v>
      </c>
      <c r="G11">
        <v>159.60000000000002</v>
      </c>
    </row>
    <row r="12" spans="1:19" x14ac:dyDescent="0.25">
      <c r="B12">
        <v>50</v>
      </c>
      <c r="C12">
        <f t="shared" si="1"/>
        <v>199.5</v>
      </c>
      <c r="D12">
        <v>24</v>
      </c>
      <c r="E12">
        <f t="shared" si="0"/>
        <v>71.52</v>
      </c>
      <c r="F12">
        <f t="shared" si="2"/>
        <v>7.8108089666342031E-3</v>
      </c>
      <c r="G12">
        <v>199.5</v>
      </c>
    </row>
    <row r="13" spans="1:19" x14ac:dyDescent="0.25">
      <c r="B13">
        <v>60</v>
      </c>
      <c r="C13">
        <f t="shared" si="1"/>
        <v>239.4</v>
      </c>
      <c r="D13">
        <v>22</v>
      </c>
      <c r="E13">
        <f t="shared" si="0"/>
        <v>65.56</v>
      </c>
      <c r="F13">
        <f>E13^(-1/0.88)</f>
        <v>8.6225865556297E-3</v>
      </c>
      <c r="G13">
        <v>239.4</v>
      </c>
    </row>
    <row r="14" spans="1:19" x14ac:dyDescent="0.25">
      <c r="B14">
        <v>80</v>
      </c>
      <c r="C14">
        <f t="shared" si="1"/>
        <v>319.20000000000005</v>
      </c>
      <c r="D14">
        <v>5</v>
      </c>
      <c r="E14">
        <f t="shared" si="0"/>
        <v>14.9</v>
      </c>
      <c r="F14">
        <f>E14^(-1/0.88)</f>
        <v>4.6433752896768397E-2</v>
      </c>
      <c r="G14">
        <v>319.20000000000005</v>
      </c>
    </row>
    <row r="17" spans="1:7" x14ac:dyDescent="0.25">
      <c r="A17" t="s">
        <v>25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E19">
        <f t="shared" ref="E19:E30" si="3">D19*2.98</f>
        <v>0</v>
      </c>
      <c r="F19" t="e">
        <f>E19^(-1/0.88)</f>
        <v>#DIV/0!</v>
      </c>
      <c r="G19">
        <v>95.76</v>
      </c>
    </row>
    <row r="20" spans="1:7" x14ac:dyDescent="0.25">
      <c r="B20">
        <v>26</v>
      </c>
      <c r="C20">
        <f t="shared" ref="C20:C30" si="4">B20*3.99</f>
        <v>103.74000000000001</v>
      </c>
      <c r="E20">
        <f t="shared" si="3"/>
        <v>0</v>
      </c>
      <c r="F20" t="e">
        <f>E20^(-1/0.88)</f>
        <v>#DIV/0!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D21">
        <v>280</v>
      </c>
      <c r="E21">
        <f t="shared" si="3"/>
        <v>834.4</v>
      </c>
      <c r="F21">
        <f>E21^(-1/0.88)</f>
        <v>4.7891284168806333E-4</v>
      </c>
      <c r="G21">
        <v>111.72</v>
      </c>
    </row>
    <row r="22" spans="1:7" x14ac:dyDescent="0.25">
      <c r="B22">
        <v>30</v>
      </c>
      <c r="C22">
        <f t="shared" si="4"/>
        <v>119.7</v>
      </c>
      <c r="D22">
        <v>189</v>
      </c>
      <c r="E22">
        <f t="shared" si="3"/>
        <v>563.22</v>
      </c>
      <c r="F22">
        <f t="shared" ref="F22:F28" si="5">E22^(-1/0.88)</f>
        <v>7.4856491480596E-4</v>
      </c>
      <c r="G22">
        <v>119.7</v>
      </c>
    </row>
    <row r="23" spans="1:7" x14ac:dyDescent="0.25">
      <c r="B23">
        <v>32</v>
      </c>
      <c r="C23">
        <f t="shared" si="4"/>
        <v>127.68</v>
      </c>
      <c r="D23">
        <v>187</v>
      </c>
      <c r="E23">
        <f t="shared" si="3"/>
        <v>557.26</v>
      </c>
      <c r="F23">
        <f t="shared" si="5"/>
        <v>7.5766930358747448E-4</v>
      </c>
      <c r="G23">
        <v>127.68</v>
      </c>
    </row>
    <row r="24" spans="1:7" x14ac:dyDescent="0.25">
      <c r="B24">
        <v>34</v>
      </c>
      <c r="C24">
        <f t="shared" si="4"/>
        <v>135.66</v>
      </c>
      <c r="D24">
        <v>52</v>
      </c>
      <c r="E24">
        <f t="shared" si="3"/>
        <v>154.96</v>
      </c>
      <c r="F24">
        <f t="shared" si="5"/>
        <v>3.2442482731988519E-3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52</v>
      </c>
      <c r="E25">
        <f t="shared" si="3"/>
        <v>154.96</v>
      </c>
      <c r="F25">
        <f t="shared" si="5"/>
        <v>3.2442482731988519E-3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29</v>
      </c>
      <c r="E26">
        <f t="shared" si="3"/>
        <v>86.42</v>
      </c>
      <c r="F26">
        <f t="shared" si="5"/>
        <v>6.299440453199451E-3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27</v>
      </c>
      <c r="E27">
        <f t="shared" si="3"/>
        <v>80.459999999999994</v>
      </c>
      <c r="F27">
        <f t="shared" si="5"/>
        <v>6.8323192270269553E-3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D28">
        <v>24</v>
      </c>
      <c r="E28">
        <f t="shared" si="3"/>
        <v>71.52</v>
      </c>
      <c r="F28">
        <f t="shared" si="5"/>
        <v>7.8108089666342031E-3</v>
      </c>
      <c r="G28">
        <v>199.5</v>
      </c>
    </row>
    <row r="29" spans="1:7" x14ac:dyDescent="0.25">
      <c r="B29">
        <v>60</v>
      </c>
      <c r="C29">
        <f t="shared" si="4"/>
        <v>239.4</v>
      </c>
      <c r="D29">
        <v>20</v>
      </c>
      <c r="E29">
        <f t="shared" si="3"/>
        <v>59.6</v>
      </c>
      <c r="F29">
        <f>E29^(-1/0.88)</f>
        <v>9.6089228144152165E-3</v>
      </c>
      <c r="G29">
        <v>239.4</v>
      </c>
    </row>
    <row r="30" spans="1:7" x14ac:dyDescent="0.25">
      <c r="B30">
        <v>80</v>
      </c>
      <c r="C30">
        <f t="shared" si="4"/>
        <v>319.20000000000005</v>
      </c>
      <c r="D30">
        <v>8</v>
      </c>
      <c r="E30">
        <f t="shared" si="3"/>
        <v>23.84</v>
      </c>
      <c r="F30">
        <f>E30^(-1/0.88)</f>
        <v>2.7219444648087589E-2</v>
      </c>
      <c r="G30">
        <v>319.20000000000005</v>
      </c>
    </row>
    <row r="33" spans="1:7" x14ac:dyDescent="0.25">
      <c r="A33" t="s">
        <v>7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E35">
        <f t="shared" ref="E35:E46" si="6">D35*2.98</f>
        <v>0</v>
      </c>
      <c r="F35" t="e">
        <f>E35^(-1/0.88)</f>
        <v>#DIV/0!</v>
      </c>
      <c r="G35">
        <v>95.76</v>
      </c>
    </row>
    <row r="36" spans="1:7" x14ac:dyDescent="0.25">
      <c r="B36">
        <v>26</v>
      </c>
      <c r="C36">
        <f t="shared" ref="C36:C46" si="7">B36*3.99</f>
        <v>103.74000000000001</v>
      </c>
      <c r="E36">
        <f t="shared" si="6"/>
        <v>0</v>
      </c>
      <c r="F36" t="e">
        <f>E36^(-1/0.88)</f>
        <v>#DIV/0!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E37">
        <f t="shared" si="6"/>
        <v>0</v>
      </c>
      <c r="F37" t="e">
        <f>E37^(-1/0.88)</f>
        <v>#DIV/0!</v>
      </c>
      <c r="G37">
        <v>111.72</v>
      </c>
    </row>
    <row r="38" spans="1:7" x14ac:dyDescent="0.25">
      <c r="B38">
        <v>30</v>
      </c>
      <c r="C38">
        <f t="shared" si="7"/>
        <v>119.7</v>
      </c>
      <c r="E38">
        <f t="shared" si="6"/>
        <v>0</v>
      </c>
      <c r="F38" t="e">
        <f t="shared" ref="F38:F44" si="8">E38^(-1/0.88)</f>
        <v>#DIV/0!</v>
      </c>
      <c r="G38">
        <v>119.7</v>
      </c>
    </row>
    <row r="39" spans="1:7" x14ac:dyDescent="0.25">
      <c r="B39">
        <v>32</v>
      </c>
      <c r="C39">
        <f t="shared" si="7"/>
        <v>127.68</v>
      </c>
      <c r="E39">
        <f t="shared" si="6"/>
        <v>0</v>
      </c>
      <c r="F39" t="e">
        <f t="shared" si="8"/>
        <v>#DIV/0!</v>
      </c>
      <c r="G39">
        <v>127.68</v>
      </c>
    </row>
    <row r="40" spans="1:7" x14ac:dyDescent="0.25">
      <c r="B40">
        <v>34</v>
      </c>
      <c r="C40">
        <f t="shared" si="7"/>
        <v>135.66</v>
      </c>
      <c r="E40">
        <f t="shared" si="6"/>
        <v>0</v>
      </c>
      <c r="F40" t="e">
        <f t="shared" si="8"/>
        <v>#DIV/0!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E41">
        <f t="shared" si="6"/>
        <v>0</v>
      </c>
      <c r="F41" t="e">
        <f t="shared" si="8"/>
        <v>#DIV/0!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E42">
        <f t="shared" si="6"/>
        <v>0</v>
      </c>
      <c r="F42" t="e">
        <f t="shared" si="8"/>
        <v>#DIV/0!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E43">
        <f t="shared" si="6"/>
        <v>0</v>
      </c>
      <c r="F43" t="e">
        <f t="shared" si="8"/>
        <v>#DIV/0!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E44">
        <f t="shared" si="6"/>
        <v>0</v>
      </c>
      <c r="F44" t="e">
        <f t="shared" si="8"/>
        <v>#DIV/0!</v>
      </c>
      <c r="G44">
        <v>199.5</v>
      </c>
    </row>
    <row r="45" spans="1:7" x14ac:dyDescent="0.25">
      <c r="B45">
        <v>60</v>
      </c>
      <c r="C45">
        <f t="shared" si="7"/>
        <v>239.4</v>
      </c>
      <c r="E45">
        <f t="shared" si="6"/>
        <v>0</v>
      </c>
      <c r="F45" t="e">
        <f>E45^(-1/0.88)</f>
        <v>#DIV/0!</v>
      </c>
      <c r="G45">
        <v>239.4</v>
      </c>
    </row>
    <row r="46" spans="1:7" x14ac:dyDescent="0.25">
      <c r="B46">
        <v>80</v>
      </c>
      <c r="C46">
        <f t="shared" si="7"/>
        <v>319.20000000000005</v>
      </c>
      <c r="E46">
        <f t="shared" si="6"/>
        <v>0</v>
      </c>
      <c r="F46" t="e">
        <f>E46^(-1/0.88)</f>
        <v>#DIV/0!</v>
      </c>
      <c r="G46">
        <v>319.20000000000005</v>
      </c>
    </row>
    <row r="49" spans="1:7" x14ac:dyDescent="0.25">
      <c r="A49" t="s">
        <v>8</v>
      </c>
    </row>
    <row r="50" spans="1:7" x14ac:dyDescent="0.25">
      <c r="B50" t="s">
        <v>0</v>
      </c>
      <c r="C50" t="s">
        <v>4</v>
      </c>
      <c r="D50" t="s">
        <v>1</v>
      </c>
      <c r="E50" t="s">
        <v>2</v>
      </c>
      <c r="F50" t="s">
        <v>3</v>
      </c>
    </row>
    <row r="51" spans="1:7" x14ac:dyDescent="0.25">
      <c r="B51">
        <v>24</v>
      </c>
      <c r="C51">
        <f>B51*3.99</f>
        <v>95.76</v>
      </c>
      <c r="E51">
        <f t="shared" ref="E51:E62" si="9">D51*2.98</f>
        <v>0</v>
      </c>
      <c r="F51" t="e">
        <f>E51^(-1/0.88)</f>
        <v>#DIV/0!</v>
      </c>
      <c r="G51">
        <v>95.76</v>
      </c>
    </row>
    <row r="52" spans="1:7" x14ac:dyDescent="0.25">
      <c r="B52">
        <v>26</v>
      </c>
      <c r="C52">
        <f t="shared" ref="C52:C62" si="10">B52*3.99</f>
        <v>103.74000000000001</v>
      </c>
      <c r="E52">
        <f t="shared" si="9"/>
        <v>0</v>
      </c>
      <c r="F52" t="e">
        <f>E52^(-1/0.88)</f>
        <v>#DIV/0!</v>
      </c>
      <c r="G52">
        <v>103.74000000000001</v>
      </c>
    </row>
    <row r="53" spans="1:7" x14ac:dyDescent="0.25">
      <c r="B53">
        <v>28</v>
      </c>
      <c r="C53">
        <f t="shared" si="10"/>
        <v>111.72</v>
      </c>
      <c r="E53">
        <f t="shared" si="9"/>
        <v>0</v>
      </c>
      <c r="F53" t="e">
        <f>E53^(-1/0.88)</f>
        <v>#DIV/0!</v>
      </c>
      <c r="G53">
        <v>111.72</v>
      </c>
    </row>
    <row r="54" spans="1:7" x14ac:dyDescent="0.25">
      <c r="B54">
        <v>30</v>
      </c>
      <c r="C54">
        <f t="shared" si="10"/>
        <v>119.7</v>
      </c>
      <c r="E54">
        <f t="shared" si="9"/>
        <v>0</v>
      </c>
      <c r="F54" t="e">
        <f t="shared" ref="F54:F60" si="11">E54^(-1/0.88)</f>
        <v>#DIV/0!</v>
      </c>
      <c r="G54">
        <v>119.7</v>
      </c>
    </row>
    <row r="55" spans="1:7" x14ac:dyDescent="0.25">
      <c r="B55">
        <v>32</v>
      </c>
      <c r="C55">
        <f t="shared" si="10"/>
        <v>127.68</v>
      </c>
      <c r="E55">
        <f t="shared" si="9"/>
        <v>0</v>
      </c>
      <c r="F55" t="e">
        <f t="shared" si="11"/>
        <v>#DIV/0!</v>
      </c>
      <c r="G55">
        <v>127.68</v>
      </c>
    </row>
    <row r="56" spans="1:7" x14ac:dyDescent="0.25">
      <c r="B56">
        <v>34</v>
      </c>
      <c r="C56">
        <f t="shared" si="10"/>
        <v>135.66</v>
      </c>
      <c r="E56">
        <f t="shared" si="9"/>
        <v>0</v>
      </c>
      <c r="F56" t="e">
        <f t="shared" si="11"/>
        <v>#DIV/0!</v>
      </c>
      <c r="G56">
        <v>135.66</v>
      </c>
    </row>
    <row r="57" spans="1:7" x14ac:dyDescent="0.25">
      <c r="B57">
        <v>36</v>
      </c>
      <c r="C57">
        <f t="shared" si="10"/>
        <v>143.64000000000001</v>
      </c>
      <c r="E57">
        <f t="shared" si="9"/>
        <v>0</v>
      </c>
      <c r="F57" t="e">
        <f t="shared" si="11"/>
        <v>#DIV/0!</v>
      </c>
      <c r="G57">
        <v>143.64000000000001</v>
      </c>
    </row>
    <row r="58" spans="1:7" x14ac:dyDescent="0.25">
      <c r="B58">
        <v>38</v>
      </c>
      <c r="C58">
        <f t="shared" si="10"/>
        <v>151.62</v>
      </c>
      <c r="E58">
        <f t="shared" si="9"/>
        <v>0</v>
      </c>
      <c r="F58" t="e">
        <f t="shared" si="11"/>
        <v>#DIV/0!</v>
      </c>
      <c r="G58">
        <v>151.62</v>
      </c>
    </row>
    <row r="59" spans="1:7" x14ac:dyDescent="0.25">
      <c r="B59">
        <v>40</v>
      </c>
      <c r="C59">
        <f t="shared" si="10"/>
        <v>159.60000000000002</v>
      </c>
      <c r="E59">
        <f t="shared" si="9"/>
        <v>0</v>
      </c>
      <c r="F59" t="e">
        <f t="shared" si="11"/>
        <v>#DIV/0!</v>
      </c>
      <c r="G59">
        <v>159.60000000000002</v>
      </c>
    </row>
    <row r="60" spans="1:7" x14ac:dyDescent="0.25">
      <c r="B60">
        <v>50</v>
      </c>
      <c r="C60">
        <f t="shared" si="10"/>
        <v>199.5</v>
      </c>
      <c r="E60">
        <f t="shared" si="9"/>
        <v>0</v>
      </c>
      <c r="F60" t="e">
        <f t="shared" si="11"/>
        <v>#DIV/0!</v>
      </c>
      <c r="G60">
        <v>199.5</v>
      </c>
    </row>
    <row r="61" spans="1:7" x14ac:dyDescent="0.25">
      <c r="B61">
        <v>60</v>
      </c>
      <c r="C61">
        <f t="shared" si="10"/>
        <v>239.4</v>
      </c>
      <c r="E61">
        <f t="shared" si="9"/>
        <v>0</v>
      </c>
      <c r="F61" t="e">
        <f>E61^(-1/0.88)</f>
        <v>#DIV/0!</v>
      </c>
      <c r="G61">
        <v>239.4</v>
      </c>
    </row>
    <row r="62" spans="1:7" x14ac:dyDescent="0.25">
      <c r="B62">
        <v>80</v>
      </c>
      <c r="C62">
        <f t="shared" si="10"/>
        <v>319.20000000000005</v>
      </c>
      <c r="E62">
        <f t="shared" si="9"/>
        <v>0</v>
      </c>
      <c r="F62" t="e">
        <f>E62^(-1/0.88)</f>
        <v>#DIV/0!</v>
      </c>
      <c r="G62">
        <v>319.20000000000005</v>
      </c>
    </row>
    <row r="65" spans="1:7" x14ac:dyDescent="0.25">
      <c r="A65" t="s">
        <v>26</v>
      </c>
    </row>
    <row r="66" spans="1:7" x14ac:dyDescent="0.25">
      <c r="B66" t="s">
        <v>0</v>
      </c>
      <c r="C66" t="s">
        <v>4</v>
      </c>
      <c r="D66" t="s">
        <v>1</v>
      </c>
      <c r="E66" t="s">
        <v>2</v>
      </c>
      <c r="F66" t="s">
        <v>3</v>
      </c>
    </row>
    <row r="67" spans="1:7" x14ac:dyDescent="0.25">
      <c r="B67">
        <v>24</v>
      </c>
      <c r="C67">
        <f>B67*3.99</f>
        <v>95.76</v>
      </c>
      <c r="E67">
        <f t="shared" ref="E67:E78" si="12">D67*2.98</f>
        <v>0</v>
      </c>
      <c r="F67" t="e">
        <f>E67^(-1/0.88)</f>
        <v>#DIV/0!</v>
      </c>
      <c r="G67">
        <v>95.76</v>
      </c>
    </row>
    <row r="68" spans="1:7" x14ac:dyDescent="0.25">
      <c r="B68">
        <v>26</v>
      </c>
      <c r="C68">
        <f t="shared" ref="C68:C78" si="13">B68*3.99</f>
        <v>103.74000000000001</v>
      </c>
      <c r="E68">
        <f t="shared" si="12"/>
        <v>0</v>
      </c>
      <c r="F68" t="e">
        <f>E68^(-1/0.88)</f>
        <v>#DIV/0!</v>
      </c>
      <c r="G68">
        <v>103.74000000000001</v>
      </c>
    </row>
    <row r="69" spans="1:7" x14ac:dyDescent="0.25">
      <c r="B69">
        <v>28</v>
      </c>
      <c r="C69">
        <f t="shared" si="13"/>
        <v>111.72</v>
      </c>
      <c r="E69">
        <f t="shared" si="12"/>
        <v>0</v>
      </c>
      <c r="F69" t="e">
        <f>E69^(-1/0.88)</f>
        <v>#DIV/0!</v>
      </c>
      <c r="G69">
        <v>111.72</v>
      </c>
    </row>
    <row r="70" spans="1:7" x14ac:dyDescent="0.25">
      <c r="B70">
        <v>30</v>
      </c>
      <c r="C70">
        <f t="shared" si="13"/>
        <v>119.7</v>
      </c>
      <c r="E70">
        <f t="shared" si="12"/>
        <v>0</v>
      </c>
      <c r="F70" t="e">
        <f t="shared" ref="F70:F76" si="14">E70^(-1/0.88)</f>
        <v>#DIV/0!</v>
      </c>
      <c r="G70">
        <v>119.7</v>
      </c>
    </row>
    <row r="71" spans="1:7" x14ac:dyDescent="0.25">
      <c r="B71">
        <v>32</v>
      </c>
      <c r="C71">
        <f t="shared" si="13"/>
        <v>127.68</v>
      </c>
      <c r="D71">
        <v>320</v>
      </c>
      <c r="E71">
        <f t="shared" si="12"/>
        <v>953.6</v>
      </c>
      <c r="F71">
        <f t="shared" si="14"/>
        <v>4.1148740127604835E-4</v>
      </c>
      <c r="G71">
        <v>127.68</v>
      </c>
    </row>
    <row r="72" spans="1:7" x14ac:dyDescent="0.25">
      <c r="B72">
        <v>34</v>
      </c>
      <c r="C72">
        <f t="shared" si="13"/>
        <v>135.66</v>
      </c>
      <c r="D72">
        <v>95</v>
      </c>
      <c r="E72">
        <f t="shared" si="12"/>
        <v>283.10000000000002</v>
      </c>
      <c r="F72">
        <f t="shared" si="14"/>
        <v>1.6357039178369838E-3</v>
      </c>
      <c r="G72">
        <v>135.66</v>
      </c>
    </row>
    <row r="73" spans="1:7" x14ac:dyDescent="0.25">
      <c r="B73">
        <v>36</v>
      </c>
      <c r="C73">
        <f t="shared" si="13"/>
        <v>143.64000000000001</v>
      </c>
      <c r="D73">
        <v>90</v>
      </c>
      <c r="E73">
        <f t="shared" si="12"/>
        <v>268.2</v>
      </c>
      <c r="F73">
        <f t="shared" si="14"/>
        <v>1.7393531072461769E-3</v>
      </c>
      <c r="G73">
        <v>143.64000000000001</v>
      </c>
    </row>
    <row r="74" spans="1:7" x14ac:dyDescent="0.25">
      <c r="B74">
        <v>38</v>
      </c>
      <c r="C74">
        <f t="shared" si="13"/>
        <v>151.62</v>
      </c>
      <c r="D74">
        <v>63</v>
      </c>
      <c r="E74">
        <f t="shared" si="12"/>
        <v>187.74</v>
      </c>
      <c r="F74">
        <f t="shared" si="14"/>
        <v>2.6086313659827404E-3</v>
      </c>
      <c r="G74">
        <v>151.62</v>
      </c>
    </row>
    <row r="75" spans="1:7" x14ac:dyDescent="0.25">
      <c r="B75">
        <v>40</v>
      </c>
      <c r="C75">
        <f t="shared" si="13"/>
        <v>159.60000000000002</v>
      </c>
      <c r="D75">
        <v>60</v>
      </c>
      <c r="E75">
        <f t="shared" si="12"/>
        <v>178.8</v>
      </c>
      <c r="F75">
        <f t="shared" si="14"/>
        <v>2.7573472364655128E-3</v>
      </c>
      <c r="G75">
        <v>159.60000000000002</v>
      </c>
    </row>
    <row r="76" spans="1:7" x14ac:dyDescent="0.25">
      <c r="B76">
        <v>50</v>
      </c>
      <c r="C76">
        <f t="shared" si="13"/>
        <v>199.5</v>
      </c>
      <c r="D76">
        <v>53</v>
      </c>
      <c r="E76">
        <f t="shared" si="12"/>
        <v>157.94</v>
      </c>
      <c r="F76">
        <f t="shared" si="14"/>
        <v>3.1747788941022567E-3</v>
      </c>
      <c r="G76">
        <v>199.5</v>
      </c>
    </row>
    <row r="77" spans="1:7" x14ac:dyDescent="0.25">
      <c r="B77">
        <v>60</v>
      </c>
      <c r="C77">
        <f t="shared" si="13"/>
        <v>239.4</v>
      </c>
      <c r="D77">
        <v>32</v>
      </c>
      <c r="E77">
        <f t="shared" si="12"/>
        <v>95.36</v>
      </c>
      <c r="F77">
        <f>E77^(-1/0.88)</f>
        <v>5.6327461460243889E-3</v>
      </c>
      <c r="G77">
        <v>239.4</v>
      </c>
    </row>
    <row r="78" spans="1:7" x14ac:dyDescent="0.25">
      <c r="B78">
        <v>80</v>
      </c>
      <c r="C78">
        <f t="shared" si="13"/>
        <v>319.20000000000005</v>
      </c>
      <c r="D78">
        <v>22</v>
      </c>
      <c r="E78">
        <f t="shared" si="12"/>
        <v>65.56</v>
      </c>
      <c r="F78">
        <f>E78^(-1/0.88)</f>
        <v>8.6225865556297E-3</v>
      </c>
      <c r="G78">
        <v>319.20000000000005</v>
      </c>
    </row>
    <row r="81" spans="1:7" x14ac:dyDescent="0.25">
      <c r="A81" t="s">
        <v>10</v>
      </c>
    </row>
    <row r="82" spans="1:7" x14ac:dyDescent="0.25">
      <c r="B82" t="s">
        <v>0</v>
      </c>
      <c r="C82" t="s">
        <v>4</v>
      </c>
      <c r="D82" t="s">
        <v>1</v>
      </c>
      <c r="E82" t="s">
        <v>2</v>
      </c>
      <c r="F82" t="s">
        <v>3</v>
      </c>
    </row>
    <row r="83" spans="1:7" x14ac:dyDescent="0.25">
      <c r="B83">
        <v>24</v>
      </c>
      <c r="C83">
        <f>B83*3.99</f>
        <v>95.76</v>
      </c>
      <c r="E83">
        <f t="shared" ref="E83:E94" si="15">D83*2.98</f>
        <v>0</v>
      </c>
      <c r="F83" t="e">
        <f>E83^(-1/0.88)</f>
        <v>#DIV/0!</v>
      </c>
      <c r="G83">
        <v>95.76</v>
      </c>
    </row>
    <row r="84" spans="1:7" x14ac:dyDescent="0.25">
      <c r="B84">
        <v>26</v>
      </c>
      <c r="C84">
        <f t="shared" ref="C84:C94" si="16">B84*3.99</f>
        <v>103.74000000000001</v>
      </c>
      <c r="E84">
        <f t="shared" si="15"/>
        <v>0</v>
      </c>
      <c r="F84" t="e">
        <f>E84^(-1/0.88)</f>
        <v>#DIV/0!</v>
      </c>
      <c r="G84">
        <v>103.74000000000001</v>
      </c>
    </row>
    <row r="85" spans="1:7" x14ac:dyDescent="0.25">
      <c r="B85">
        <v>28</v>
      </c>
      <c r="C85">
        <f t="shared" si="16"/>
        <v>111.72</v>
      </c>
      <c r="E85">
        <f t="shared" si="15"/>
        <v>0</v>
      </c>
      <c r="F85" t="e">
        <f>E85^(-1/0.88)</f>
        <v>#DIV/0!</v>
      </c>
      <c r="G85">
        <v>111.72</v>
      </c>
    </row>
    <row r="86" spans="1:7" x14ac:dyDescent="0.25">
      <c r="B86">
        <v>30</v>
      </c>
      <c r="C86">
        <f t="shared" si="16"/>
        <v>119.7</v>
      </c>
      <c r="E86">
        <f t="shared" si="15"/>
        <v>0</v>
      </c>
      <c r="F86" t="e">
        <f t="shared" ref="F86:F92" si="17">E86^(-1/0.88)</f>
        <v>#DIV/0!</v>
      </c>
      <c r="G86">
        <v>119.7</v>
      </c>
    </row>
    <row r="87" spans="1:7" x14ac:dyDescent="0.25">
      <c r="B87">
        <v>32</v>
      </c>
      <c r="C87">
        <f t="shared" si="16"/>
        <v>127.68</v>
      </c>
      <c r="D87">
        <v>155</v>
      </c>
      <c r="E87">
        <f t="shared" si="15"/>
        <v>461.9</v>
      </c>
      <c r="F87">
        <f t="shared" si="17"/>
        <v>9.3778782116372853E-4</v>
      </c>
      <c r="G87">
        <v>127.68</v>
      </c>
    </row>
    <row r="88" spans="1:7" x14ac:dyDescent="0.25">
      <c r="B88">
        <v>34</v>
      </c>
      <c r="C88">
        <f t="shared" si="16"/>
        <v>135.66</v>
      </c>
      <c r="D88">
        <v>154</v>
      </c>
      <c r="E88">
        <f t="shared" si="15"/>
        <v>458.92</v>
      </c>
      <c r="F88">
        <f t="shared" si="17"/>
        <v>9.4471080111264505E-4</v>
      </c>
      <c r="G88">
        <v>135.66</v>
      </c>
    </row>
    <row r="89" spans="1:7" x14ac:dyDescent="0.25">
      <c r="B89">
        <v>36</v>
      </c>
      <c r="C89">
        <f t="shared" si="16"/>
        <v>143.64000000000001</v>
      </c>
      <c r="D89">
        <v>96</v>
      </c>
      <c r="E89">
        <f t="shared" si="15"/>
        <v>286.08</v>
      </c>
      <c r="F89">
        <f t="shared" si="17"/>
        <v>1.6163556851712883E-3</v>
      </c>
      <c r="G89">
        <v>143.64000000000001</v>
      </c>
    </row>
    <row r="90" spans="1:7" x14ac:dyDescent="0.25">
      <c r="B90">
        <v>38</v>
      </c>
      <c r="C90">
        <f t="shared" si="16"/>
        <v>151.62</v>
      </c>
      <c r="D90">
        <v>96</v>
      </c>
      <c r="E90">
        <f t="shared" si="15"/>
        <v>286.08</v>
      </c>
      <c r="F90">
        <f t="shared" si="17"/>
        <v>1.6163556851712883E-3</v>
      </c>
      <c r="G90">
        <v>151.62</v>
      </c>
    </row>
    <row r="91" spans="1:7" x14ac:dyDescent="0.25">
      <c r="B91">
        <v>40</v>
      </c>
      <c r="C91">
        <f t="shared" si="16"/>
        <v>159.60000000000002</v>
      </c>
      <c r="D91">
        <v>44</v>
      </c>
      <c r="E91">
        <f t="shared" si="15"/>
        <v>131.12</v>
      </c>
      <c r="F91">
        <f t="shared" si="17"/>
        <v>3.922455471491895E-3</v>
      </c>
      <c r="G91">
        <v>159.60000000000002</v>
      </c>
    </row>
    <row r="92" spans="1:7" x14ac:dyDescent="0.25">
      <c r="B92">
        <v>50</v>
      </c>
      <c r="C92">
        <f t="shared" si="16"/>
        <v>199.5</v>
      </c>
      <c r="D92">
        <v>44</v>
      </c>
      <c r="E92">
        <f t="shared" si="15"/>
        <v>131.12</v>
      </c>
      <c r="F92">
        <f t="shared" si="17"/>
        <v>3.922455471491895E-3</v>
      </c>
      <c r="G92">
        <v>199.5</v>
      </c>
    </row>
    <row r="93" spans="1:7" x14ac:dyDescent="0.25">
      <c r="B93">
        <v>60</v>
      </c>
      <c r="C93">
        <f t="shared" si="16"/>
        <v>239.4</v>
      </c>
      <c r="D93">
        <v>23</v>
      </c>
      <c r="E93">
        <f t="shared" si="15"/>
        <v>68.540000000000006</v>
      </c>
      <c r="F93">
        <f>E93^(-1/0.88)</f>
        <v>8.1978484653347193E-3</v>
      </c>
      <c r="G93">
        <v>239.4</v>
      </c>
    </row>
    <row r="94" spans="1:7" x14ac:dyDescent="0.25">
      <c r="B94">
        <v>80</v>
      </c>
      <c r="C94">
        <f t="shared" si="16"/>
        <v>319.20000000000005</v>
      </c>
      <c r="D94">
        <v>11</v>
      </c>
      <c r="E94">
        <f t="shared" si="15"/>
        <v>32.78</v>
      </c>
      <c r="F94">
        <f>E94^(-1/0.88)</f>
        <v>1.8954708205023315E-2</v>
      </c>
      <c r="G94">
        <v>319.20000000000005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3"/>
  <sheetViews>
    <sheetView topLeftCell="E1" workbookViewId="0">
      <selection activeCell="Q3" sqref="Q3:Q10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5.28515625" bestFit="1" customWidth="1"/>
    <col min="17" max="17" width="16.5703125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E3">
        <f t="shared" ref="E3:E14" si="0">D3*2.98</f>
        <v>0</v>
      </c>
      <c r="F3" t="e">
        <f>E3^(-1/0.88)</f>
        <v>#DIV/0!</v>
      </c>
      <c r="G3">
        <v>95.76</v>
      </c>
      <c r="P3" t="s">
        <v>16</v>
      </c>
      <c r="Q3">
        <v>100.52</v>
      </c>
    </row>
    <row r="4" spans="1:17" x14ac:dyDescent="0.25">
      <c r="B4">
        <v>26</v>
      </c>
      <c r="C4">
        <f t="shared" ref="C4:C14" si="1">B4*3.99</f>
        <v>103.74000000000001</v>
      </c>
      <c r="D4">
        <v>142</v>
      </c>
      <c r="E4">
        <f t="shared" si="0"/>
        <v>423.16</v>
      </c>
      <c r="F4">
        <f>E4^(-1/0.88)</f>
        <v>1.035942551636068E-3</v>
      </c>
      <c r="G4">
        <v>103.74000000000001</v>
      </c>
      <c r="P4" t="s">
        <v>17</v>
      </c>
    </row>
    <row r="5" spans="1:17" x14ac:dyDescent="0.25">
      <c r="B5">
        <v>28</v>
      </c>
      <c r="C5">
        <f t="shared" si="1"/>
        <v>111.72</v>
      </c>
      <c r="D5">
        <v>136</v>
      </c>
      <c r="E5">
        <f t="shared" si="0"/>
        <v>405.28</v>
      </c>
      <c r="F5">
        <f>E5^(-1/0.88)</f>
        <v>1.0880324533346709E-3</v>
      </c>
      <c r="G5">
        <v>111.72</v>
      </c>
      <c r="P5" t="s">
        <v>18</v>
      </c>
    </row>
    <row r="6" spans="1:17" x14ac:dyDescent="0.25">
      <c r="B6">
        <v>30</v>
      </c>
      <c r="C6">
        <f t="shared" si="1"/>
        <v>119.7</v>
      </c>
      <c r="D6">
        <v>116</v>
      </c>
      <c r="E6">
        <f t="shared" si="0"/>
        <v>345.68</v>
      </c>
      <c r="F6">
        <f t="shared" ref="F6:F12" si="2">E6^(-1/0.88)</f>
        <v>1.3035956241437261E-3</v>
      </c>
      <c r="G6">
        <v>119.7</v>
      </c>
      <c r="P6" t="s">
        <v>19</v>
      </c>
      <c r="Q6">
        <v>76.97</v>
      </c>
    </row>
    <row r="7" spans="1:17" x14ac:dyDescent="0.25">
      <c r="B7">
        <v>32</v>
      </c>
      <c r="C7">
        <f t="shared" si="1"/>
        <v>127.68</v>
      </c>
      <c r="D7">
        <v>115</v>
      </c>
      <c r="E7">
        <f t="shared" si="0"/>
        <v>342.7</v>
      </c>
      <c r="F7">
        <f t="shared" si="2"/>
        <v>1.316484621969535E-3</v>
      </c>
      <c r="G7">
        <v>127.68</v>
      </c>
      <c r="P7" t="s">
        <v>20</v>
      </c>
      <c r="Q7">
        <v>80.433000000000007</v>
      </c>
    </row>
    <row r="8" spans="1:17" x14ac:dyDescent="0.25">
      <c r="B8">
        <v>34</v>
      </c>
      <c r="C8">
        <f t="shared" si="1"/>
        <v>135.66</v>
      </c>
      <c r="D8">
        <v>75</v>
      </c>
      <c r="E8">
        <f t="shared" si="0"/>
        <v>223.5</v>
      </c>
      <c r="F8">
        <f t="shared" si="2"/>
        <v>2.1397668059655252E-3</v>
      </c>
      <c r="G8">
        <v>135.66</v>
      </c>
      <c r="P8" t="s">
        <v>21</v>
      </c>
      <c r="Q8">
        <v>95.506</v>
      </c>
    </row>
    <row r="9" spans="1:17" x14ac:dyDescent="0.25">
      <c r="B9">
        <v>36</v>
      </c>
      <c r="C9">
        <f t="shared" si="1"/>
        <v>143.64000000000001</v>
      </c>
      <c r="D9">
        <v>74</v>
      </c>
      <c r="E9">
        <f t="shared" si="0"/>
        <v>220.52</v>
      </c>
      <c r="F9">
        <f t="shared" si="2"/>
        <v>2.172655791127472E-3</v>
      </c>
      <c r="G9">
        <v>143.64000000000001</v>
      </c>
      <c r="P9" t="s">
        <v>22</v>
      </c>
      <c r="Q9">
        <f>AVERAGE(Q3:Q8)</f>
        <v>88.357249999999993</v>
      </c>
    </row>
    <row r="10" spans="1:17" x14ac:dyDescent="0.25">
      <c r="B10">
        <v>38</v>
      </c>
      <c r="C10">
        <f t="shared" si="1"/>
        <v>151.62</v>
      </c>
      <c r="D10">
        <v>73</v>
      </c>
      <c r="E10">
        <f t="shared" si="0"/>
        <v>217.54</v>
      </c>
      <c r="F10">
        <f t="shared" si="2"/>
        <v>2.2065081742912848E-3</v>
      </c>
      <c r="G10">
        <v>151.62</v>
      </c>
      <c r="P10" t="s">
        <v>23</v>
      </c>
      <c r="Q10">
        <f>STDEV(Q3:Q8)</f>
        <v>11.423664250872731</v>
      </c>
    </row>
    <row r="11" spans="1:17" x14ac:dyDescent="0.25">
      <c r="B11">
        <v>40</v>
      </c>
      <c r="C11">
        <f t="shared" si="1"/>
        <v>159.60000000000002</v>
      </c>
      <c r="D11">
        <v>36</v>
      </c>
      <c r="E11">
        <f t="shared" si="0"/>
        <v>107.28</v>
      </c>
      <c r="F11">
        <f t="shared" si="2"/>
        <v>4.9271106179707355E-3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D12">
        <v>31</v>
      </c>
      <c r="E12">
        <f t="shared" si="0"/>
        <v>92.38</v>
      </c>
      <c r="F12">
        <f t="shared" si="2"/>
        <v>5.8396750879134646E-3</v>
      </c>
      <c r="G12">
        <v>199.5</v>
      </c>
    </row>
    <row r="13" spans="1:17" x14ac:dyDescent="0.25">
      <c r="B13">
        <v>60</v>
      </c>
      <c r="C13">
        <f t="shared" si="1"/>
        <v>239.4</v>
      </c>
      <c r="D13">
        <v>22</v>
      </c>
      <c r="E13">
        <f t="shared" si="0"/>
        <v>65.56</v>
      </c>
      <c r="F13">
        <f>E13^(-1/0.88)</f>
        <v>8.6225865556297E-3</v>
      </c>
      <c r="G13">
        <v>239.4</v>
      </c>
    </row>
    <row r="14" spans="1:17" x14ac:dyDescent="0.25">
      <c r="B14">
        <v>80</v>
      </c>
      <c r="C14">
        <f t="shared" si="1"/>
        <v>319.20000000000005</v>
      </c>
      <c r="E14">
        <f t="shared" si="0"/>
        <v>0</v>
      </c>
      <c r="F14" t="e">
        <f>E14^(-1/0.88)</f>
        <v>#DIV/0!</v>
      </c>
      <c r="G14">
        <v>319.20000000000005</v>
      </c>
    </row>
    <row r="18" spans="1:7" x14ac:dyDescent="0.25">
      <c r="A18" t="s">
        <v>25</v>
      </c>
    </row>
    <row r="19" spans="1:7" x14ac:dyDescent="0.25">
      <c r="B19" t="s">
        <v>0</v>
      </c>
      <c r="C19" t="s">
        <v>4</v>
      </c>
      <c r="D19" t="s">
        <v>1</v>
      </c>
      <c r="E19" t="s">
        <v>2</v>
      </c>
      <c r="F19" t="s">
        <v>3</v>
      </c>
    </row>
    <row r="20" spans="1:7" x14ac:dyDescent="0.25">
      <c r="B20">
        <v>24</v>
      </c>
      <c r="C20">
        <f>B20*3.99</f>
        <v>95.76</v>
      </c>
      <c r="E20">
        <f t="shared" ref="E20:E31" si="3">D20*2.98</f>
        <v>0</v>
      </c>
      <c r="F20" t="e">
        <f>E20^(-1/0.88)</f>
        <v>#DIV/0!</v>
      </c>
      <c r="G20">
        <v>95.76</v>
      </c>
    </row>
    <row r="21" spans="1:7" x14ac:dyDescent="0.25">
      <c r="B21">
        <v>26</v>
      </c>
      <c r="C21">
        <f t="shared" ref="C21:C31" si="4">B21*3.99</f>
        <v>103.74000000000001</v>
      </c>
      <c r="D21">
        <v>310</v>
      </c>
      <c r="E21">
        <f t="shared" si="3"/>
        <v>923.8</v>
      </c>
      <c r="F21">
        <f>E21^(-1/0.88)</f>
        <v>4.2660412238140766E-4</v>
      </c>
      <c r="G21">
        <v>103.74000000000001</v>
      </c>
    </row>
    <row r="22" spans="1:7" x14ac:dyDescent="0.25">
      <c r="B22">
        <v>28</v>
      </c>
      <c r="C22">
        <f t="shared" si="4"/>
        <v>111.72</v>
      </c>
      <c r="D22">
        <v>263</v>
      </c>
      <c r="E22">
        <f t="shared" si="3"/>
        <v>783.74</v>
      </c>
      <c r="F22">
        <f>E22^(-1/0.88)</f>
        <v>5.1424273814258583E-4</v>
      </c>
      <c r="G22">
        <v>111.72</v>
      </c>
    </row>
    <row r="23" spans="1:7" x14ac:dyDescent="0.25">
      <c r="B23">
        <v>30</v>
      </c>
      <c r="C23">
        <f t="shared" si="4"/>
        <v>119.7</v>
      </c>
      <c r="D23">
        <v>263</v>
      </c>
      <c r="E23">
        <f t="shared" si="3"/>
        <v>783.74</v>
      </c>
      <c r="F23">
        <f t="shared" ref="F23:F29" si="5">E23^(-1/0.88)</f>
        <v>5.1424273814258583E-4</v>
      </c>
      <c r="G23">
        <v>119.7</v>
      </c>
    </row>
    <row r="24" spans="1:7" x14ac:dyDescent="0.25">
      <c r="B24">
        <v>32</v>
      </c>
      <c r="C24">
        <f t="shared" si="4"/>
        <v>127.68</v>
      </c>
      <c r="D24">
        <v>261</v>
      </c>
      <c r="E24">
        <f t="shared" si="3"/>
        <v>777.78</v>
      </c>
      <c r="F24">
        <f t="shared" si="5"/>
        <v>5.1872297866791851E-4</v>
      </c>
      <c r="G24">
        <v>127.68</v>
      </c>
    </row>
    <row r="25" spans="1:7" x14ac:dyDescent="0.25">
      <c r="B25">
        <v>34</v>
      </c>
      <c r="C25">
        <f t="shared" si="4"/>
        <v>135.66</v>
      </c>
      <c r="D25">
        <v>261</v>
      </c>
      <c r="E25">
        <f t="shared" si="3"/>
        <v>777.78</v>
      </c>
      <c r="F25">
        <f t="shared" si="5"/>
        <v>5.1872297866791851E-4</v>
      </c>
      <c r="G25">
        <v>135.66</v>
      </c>
    </row>
    <row r="26" spans="1:7" x14ac:dyDescent="0.25">
      <c r="B26">
        <v>36</v>
      </c>
      <c r="C26">
        <f t="shared" si="4"/>
        <v>143.64000000000001</v>
      </c>
      <c r="D26">
        <v>259</v>
      </c>
      <c r="E26">
        <f t="shared" si="3"/>
        <v>771.82</v>
      </c>
      <c r="F26">
        <f t="shared" si="5"/>
        <v>5.2327716857353821E-4</v>
      </c>
      <c r="G26">
        <v>143.64000000000001</v>
      </c>
    </row>
    <row r="27" spans="1:7" x14ac:dyDescent="0.25">
      <c r="B27">
        <v>38</v>
      </c>
      <c r="C27">
        <f t="shared" si="4"/>
        <v>151.62</v>
      </c>
      <c r="D27">
        <v>259</v>
      </c>
      <c r="E27">
        <f t="shared" si="3"/>
        <v>771.82</v>
      </c>
      <c r="F27">
        <f t="shared" si="5"/>
        <v>5.2327716857353821E-4</v>
      </c>
      <c r="G27">
        <v>151.62</v>
      </c>
    </row>
    <row r="28" spans="1:7" x14ac:dyDescent="0.25">
      <c r="B28">
        <v>40</v>
      </c>
      <c r="C28">
        <f t="shared" si="4"/>
        <v>159.60000000000002</v>
      </c>
      <c r="D28">
        <v>258</v>
      </c>
      <c r="E28">
        <f t="shared" si="3"/>
        <v>768.84</v>
      </c>
      <c r="F28">
        <f t="shared" si="5"/>
        <v>5.2558255661673829E-4</v>
      </c>
      <c r="G28">
        <v>159.60000000000002</v>
      </c>
    </row>
    <row r="29" spans="1:7" x14ac:dyDescent="0.25">
      <c r="B29">
        <v>50</v>
      </c>
      <c r="C29">
        <f t="shared" si="4"/>
        <v>199.5</v>
      </c>
      <c r="D29">
        <v>257</v>
      </c>
      <c r="E29">
        <f t="shared" si="3"/>
        <v>765.86</v>
      </c>
      <c r="F29">
        <f t="shared" si="5"/>
        <v>5.2790711373198985E-4</v>
      </c>
      <c r="G29">
        <v>199.5</v>
      </c>
    </row>
    <row r="30" spans="1:7" x14ac:dyDescent="0.25">
      <c r="B30">
        <v>60</v>
      </c>
      <c r="C30">
        <f t="shared" si="4"/>
        <v>239.4</v>
      </c>
      <c r="D30">
        <v>255</v>
      </c>
      <c r="E30">
        <f t="shared" si="3"/>
        <v>759.9</v>
      </c>
      <c r="F30">
        <f>E30^(-1/0.88)</f>
        <v>5.3261467863319537E-4</v>
      </c>
      <c r="G30">
        <v>239.4</v>
      </c>
    </row>
    <row r="31" spans="1:7" x14ac:dyDescent="0.25">
      <c r="B31">
        <v>80</v>
      </c>
      <c r="C31">
        <f t="shared" si="4"/>
        <v>319.20000000000005</v>
      </c>
      <c r="D31">
        <v>213</v>
      </c>
      <c r="E31">
        <f t="shared" si="3"/>
        <v>634.74</v>
      </c>
      <c r="F31">
        <f>E31^(-1/0.88)</f>
        <v>6.534795009809645E-4</v>
      </c>
      <c r="G31">
        <v>319.20000000000005</v>
      </c>
    </row>
    <row r="34" spans="1:7" x14ac:dyDescent="0.25">
      <c r="A34" t="s">
        <v>12</v>
      </c>
    </row>
    <row r="35" spans="1:7" x14ac:dyDescent="0.25">
      <c r="B35" t="s">
        <v>0</v>
      </c>
      <c r="C35" t="s">
        <v>4</v>
      </c>
      <c r="D35" t="s">
        <v>1</v>
      </c>
      <c r="E35" t="s">
        <v>2</v>
      </c>
      <c r="F35" t="s">
        <v>3</v>
      </c>
    </row>
    <row r="36" spans="1:7" x14ac:dyDescent="0.25">
      <c r="B36">
        <v>24</v>
      </c>
      <c r="C36">
        <f>B36*3.99</f>
        <v>95.76</v>
      </c>
      <c r="D36">
        <v>51</v>
      </c>
      <c r="E36">
        <f t="shared" ref="E36:E45" si="6">D36*2.98</f>
        <v>151.97999999999999</v>
      </c>
      <c r="F36">
        <f>E36^(-1/0.88)</f>
        <v>3.3166315450883603E-3</v>
      </c>
      <c r="G36">
        <v>95.76</v>
      </c>
    </row>
    <row r="37" spans="1:7" x14ac:dyDescent="0.25">
      <c r="B37">
        <v>26</v>
      </c>
      <c r="C37">
        <f t="shared" ref="C37:C45" si="7">B37*3.99</f>
        <v>103.74000000000001</v>
      </c>
      <c r="D37">
        <v>49</v>
      </c>
      <c r="E37">
        <f t="shared" si="6"/>
        <v>146.02000000000001</v>
      </c>
      <c r="F37">
        <f>E37^(-1/0.88)</f>
        <v>3.4708873458777541E-3</v>
      </c>
      <c r="G37">
        <v>103.74000000000001</v>
      </c>
    </row>
    <row r="38" spans="1:7" x14ac:dyDescent="0.25">
      <c r="B38">
        <v>28</v>
      </c>
      <c r="C38">
        <f t="shared" si="7"/>
        <v>111.72</v>
      </c>
      <c r="D38">
        <v>44</v>
      </c>
      <c r="E38">
        <f t="shared" si="6"/>
        <v>131.12</v>
      </c>
      <c r="F38">
        <f>E38^(-1/0.88)</f>
        <v>3.922455471491895E-3</v>
      </c>
      <c r="G38">
        <v>111.72</v>
      </c>
    </row>
    <row r="39" spans="1:7" x14ac:dyDescent="0.25">
      <c r="B39">
        <v>30</v>
      </c>
      <c r="C39">
        <f t="shared" si="7"/>
        <v>119.7</v>
      </c>
      <c r="D39">
        <v>43</v>
      </c>
      <c r="E39">
        <f t="shared" si="6"/>
        <v>128.13999999999999</v>
      </c>
      <c r="F39">
        <f t="shared" ref="F39:F45" si="8">E39^(-1/0.88)</f>
        <v>4.026277718217495E-3</v>
      </c>
      <c r="G39">
        <v>119.7</v>
      </c>
    </row>
    <row r="40" spans="1:7" x14ac:dyDescent="0.25">
      <c r="B40">
        <v>32</v>
      </c>
      <c r="C40">
        <f t="shared" si="7"/>
        <v>127.68</v>
      </c>
      <c r="D40">
        <v>41</v>
      </c>
      <c r="E40">
        <f t="shared" si="6"/>
        <v>122.17999999999999</v>
      </c>
      <c r="F40">
        <f>E40^(-1/0.88)</f>
        <v>4.2501959551075989E-3</v>
      </c>
      <c r="G40">
        <v>127.68</v>
      </c>
    </row>
    <row r="41" spans="1:7" x14ac:dyDescent="0.25">
      <c r="B41">
        <v>34</v>
      </c>
      <c r="C41">
        <f t="shared" si="7"/>
        <v>135.66</v>
      </c>
      <c r="E41">
        <f t="shared" si="6"/>
        <v>0</v>
      </c>
    </row>
    <row r="42" spans="1:7" x14ac:dyDescent="0.25">
      <c r="B42">
        <v>36</v>
      </c>
      <c r="C42">
        <f t="shared" si="7"/>
        <v>143.64000000000001</v>
      </c>
      <c r="E42">
        <f t="shared" si="6"/>
        <v>0</v>
      </c>
    </row>
    <row r="43" spans="1:7" x14ac:dyDescent="0.25">
      <c r="B43">
        <v>38</v>
      </c>
      <c r="C43">
        <f t="shared" si="7"/>
        <v>151.62</v>
      </c>
      <c r="E43">
        <f t="shared" si="6"/>
        <v>0</v>
      </c>
    </row>
    <row r="44" spans="1:7" x14ac:dyDescent="0.25">
      <c r="B44">
        <v>40</v>
      </c>
      <c r="C44">
        <f t="shared" si="7"/>
        <v>159.60000000000002</v>
      </c>
      <c r="D44">
        <v>32</v>
      </c>
      <c r="E44">
        <f t="shared" si="6"/>
        <v>95.36</v>
      </c>
      <c r="F44">
        <f t="shared" si="8"/>
        <v>5.6327461460243889E-3</v>
      </c>
      <c r="G44">
        <v>159.60000000000002</v>
      </c>
    </row>
    <row r="45" spans="1:7" x14ac:dyDescent="0.25">
      <c r="B45">
        <v>50</v>
      </c>
      <c r="C45">
        <f t="shared" si="7"/>
        <v>199.5</v>
      </c>
      <c r="D45">
        <v>27</v>
      </c>
      <c r="E45">
        <f t="shared" si="6"/>
        <v>80.459999999999994</v>
      </c>
      <c r="F45">
        <f t="shared" si="8"/>
        <v>6.8323192270269553E-3</v>
      </c>
      <c r="G45">
        <v>199.5</v>
      </c>
    </row>
    <row r="50" spans="1:7" x14ac:dyDescent="0.25">
      <c r="A50" t="s">
        <v>56</v>
      </c>
    </row>
    <row r="51" spans="1:7" x14ac:dyDescent="0.25">
      <c r="B51" t="s">
        <v>0</v>
      </c>
      <c r="C51" t="s">
        <v>4</v>
      </c>
      <c r="D51" t="s">
        <v>1</v>
      </c>
      <c r="E51" t="s">
        <v>2</v>
      </c>
      <c r="F51" t="s">
        <v>3</v>
      </c>
    </row>
    <row r="52" spans="1:7" x14ac:dyDescent="0.25">
      <c r="B52">
        <v>24</v>
      </c>
      <c r="C52">
        <f>B52*3.99</f>
        <v>95.76</v>
      </c>
      <c r="D52">
        <v>110</v>
      </c>
      <c r="E52">
        <f t="shared" ref="E52:E61" si="9">D52*2.98</f>
        <v>327.8</v>
      </c>
      <c r="F52">
        <f>E52^(-1/0.88)</f>
        <v>1.3846929044966517E-3</v>
      </c>
      <c r="G52">
        <v>95.76</v>
      </c>
    </row>
    <row r="53" spans="1:7" x14ac:dyDescent="0.25">
      <c r="B53">
        <v>26</v>
      </c>
      <c r="C53">
        <f t="shared" ref="C53:C61" si="10">B53*3.99</f>
        <v>103.74000000000001</v>
      </c>
      <c r="D53">
        <v>96</v>
      </c>
      <c r="E53">
        <f t="shared" si="9"/>
        <v>286.08</v>
      </c>
      <c r="F53">
        <f>E53^(-1/0.88)</f>
        <v>1.6163556851712883E-3</v>
      </c>
      <c r="G53">
        <v>103.74000000000001</v>
      </c>
    </row>
    <row r="54" spans="1:7" x14ac:dyDescent="0.25">
      <c r="B54">
        <v>28</v>
      </c>
      <c r="C54">
        <f t="shared" si="10"/>
        <v>111.72</v>
      </c>
      <c r="D54">
        <v>82</v>
      </c>
      <c r="E54">
        <f t="shared" si="9"/>
        <v>244.35999999999999</v>
      </c>
      <c r="F54">
        <f>E54^(-1/0.88)</f>
        <v>1.9334342742132135E-3</v>
      </c>
      <c r="G54">
        <v>111.72</v>
      </c>
    </row>
    <row r="55" spans="1:7" x14ac:dyDescent="0.25">
      <c r="B55">
        <v>30</v>
      </c>
      <c r="C55">
        <f t="shared" si="10"/>
        <v>119.7</v>
      </c>
      <c r="D55">
        <v>82</v>
      </c>
      <c r="E55">
        <f t="shared" si="9"/>
        <v>244.35999999999999</v>
      </c>
      <c r="F55">
        <f>E55^(-1/0.88)</f>
        <v>1.9334342742132135E-3</v>
      </c>
      <c r="G55">
        <v>119.7</v>
      </c>
    </row>
    <row r="56" spans="1:7" x14ac:dyDescent="0.25">
      <c r="B56">
        <v>32</v>
      </c>
      <c r="C56">
        <f t="shared" si="10"/>
        <v>127.68</v>
      </c>
      <c r="D56">
        <v>46</v>
      </c>
      <c r="E56">
        <f t="shared" si="9"/>
        <v>137.08000000000001</v>
      </c>
      <c r="F56">
        <f>E56^(-1/0.88)</f>
        <v>3.7292401021267918E-3</v>
      </c>
      <c r="G56">
        <v>127.68</v>
      </c>
    </row>
    <row r="57" spans="1:7" x14ac:dyDescent="0.25">
      <c r="B57">
        <v>34</v>
      </c>
      <c r="C57">
        <f t="shared" si="10"/>
        <v>135.66</v>
      </c>
      <c r="E57">
        <f t="shared" si="9"/>
        <v>0</v>
      </c>
    </row>
    <row r="58" spans="1:7" x14ac:dyDescent="0.25">
      <c r="B58">
        <v>36</v>
      </c>
      <c r="C58">
        <f t="shared" si="10"/>
        <v>143.64000000000001</v>
      </c>
      <c r="E58">
        <f t="shared" si="9"/>
        <v>0</v>
      </c>
    </row>
    <row r="59" spans="1:7" x14ac:dyDescent="0.25">
      <c r="B59">
        <v>38</v>
      </c>
      <c r="C59">
        <f t="shared" si="10"/>
        <v>151.62</v>
      </c>
      <c r="E59">
        <f t="shared" si="9"/>
        <v>0</v>
      </c>
    </row>
    <row r="60" spans="1:7" x14ac:dyDescent="0.25">
      <c r="B60">
        <v>40</v>
      </c>
      <c r="C60">
        <f t="shared" si="10"/>
        <v>159.60000000000002</v>
      </c>
      <c r="D60">
        <v>41</v>
      </c>
      <c r="E60">
        <f t="shared" si="9"/>
        <v>122.17999999999999</v>
      </c>
      <c r="F60">
        <f>E60^(-1/0.88)</f>
        <v>4.2501959551075989E-3</v>
      </c>
      <c r="G60">
        <v>159.60000000000002</v>
      </c>
    </row>
    <row r="61" spans="1:7" x14ac:dyDescent="0.25">
      <c r="B61">
        <v>50</v>
      </c>
      <c r="C61">
        <f t="shared" si="10"/>
        <v>199.5</v>
      </c>
      <c r="D61">
        <v>11</v>
      </c>
      <c r="E61">
        <f t="shared" si="9"/>
        <v>32.78</v>
      </c>
      <c r="F61">
        <f>E61^(-1/0.88)</f>
        <v>1.8954708205023315E-2</v>
      </c>
      <c r="G61">
        <v>199.5</v>
      </c>
    </row>
    <row r="66" spans="1:7" x14ac:dyDescent="0.25">
      <c r="A66" t="s">
        <v>31</v>
      </c>
    </row>
    <row r="67" spans="1:7" x14ac:dyDescent="0.25">
      <c r="B67" t="s">
        <v>0</v>
      </c>
      <c r="C67" t="s">
        <v>4</v>
      </c>
      <c r="D67" t="s">
        <v>1</v>
      </c>
      <c r="E67" t="s">
        <v>2</v>
      </c>
      <c r="F67" t="s">
        <v>3</v>
      </c>
    </row>
    <row r="68" spans="1:7" x14ac:dyDescent="0.25">
      <c r="B68">
        <v>24</v>
      </c>
      <c r="C68">
        <f>B68*3.99</f>
        <v>95.76</v>
      </c>
      <c r="D68">
        <v>31</v>
      </c>
      <c r="E68">
        <f t="shared" ref="E68:E77" si="11">D68*2.98</f>
        <v>92.38</v>
      </c>
      <c r="F68">
        <f>E68^(-1/0.88)</f>
        <v>5.8396750879134646E-3</v>
      </c>
      <c r="G68">
        <v>95.76</v>
      </c>
    </row>
    <row r="69" spans="1:7" x14ac:dyDescent="0.25">
      <c r="B69">
        <v>26</v>
      </c>
      <c r="C69">
        <f t="shared" ref="C69:C77" si="12">B69*3.99</f>
        <v>103.74000000000001</v>
      </c>
      <c r="D69">
        <v>31</v>
      </c>
      <c r="E69">
        <f t="shared" si="11"/>
        <v>92.38</v>
      </c>
      <c r="F69">
        <f>E69^(-1/0.88)</f>
        <v>5.8396750879134646E-3</v>
      </c>
      <c r="G69">
        <v>103.74000000000001</v>
      </c>
    </row>
    <row r="70" spans="1:7" x14ac:dyDescent="0.25">
      <c r="B70">
        <v>28</v>
      </c>
      <c r="C70">
        <f t="shared" si="12"/>
        <v>111.72</v>
      </c>
      <c r="D70">
        <v>28</v>
      </c>
      <c r="E70">
        <f t="shared" si="11"/>
        <v>83.44</v>
      </c>
      <c r="F70">
        <f>E70^(-1/0.88)</f>
        <v>6.5557158127675817E-3</v>
      </c>
      <c r="G70">
        <v>111.72</v>
      </c>
    </row>
    <row r="71" spans="1:7" x14ac:dyDescent="0.25">
      <c r="B71">
        <v>30</v>
      </c>
      <c r="C71">
        <f t="shared" si="12"/>
        <v>119.7</v>
      </c>
      <c r="D71">
        <v>18</v>
      </c>
      <c r="E71">
        <f t="shared" si="11"/>
        <v>53.64</v>
      </c>
      <c r="F71">
        <f>E71^(-1/0.88)</f>
        <v>1.0831082234429018E-2</v>
      </c>
      <c r="G71">
        <v>119.7</v>
      </c>
    </row>
    <row r="72" spans="1:7" x14ac:dyDescent="0.25">
      <c r="B72">
        <v>32</v>
      </c>
      <c r="C72">
        <f t="shared" si="12"/>
        <v>127.68</v>
      </c>
      <c r="D72">
        <v>16</v>
      </c>
      <c r="E72">
        <f t="shared" si="11"/>
        <v>47.68</v>
      </c>
      <c r="F72">
        <f>E72^(-1/0.88)</f>
        <v>1.2382254315690646E-2</v>
      </c>
      <c r="G72">
        <v>127.68</v>
      </c>
    </row>
    <row r="73" spans="1:7" x14ac:dyDescent="0.25">
      <c r="B73">
        <v>34</v>
      </c>
      <c r="C73">
        <f t="shared" si="12"/>
        <v>135.66</v>
      </c>
      <c r="E73">
        <f t="shared" si="11"/>
        <v>0</v>
      </c>
    </row>
    <row r="74" spans="1:7" x14ac:dyDescent="0.25">
      <c r="B74">
        <v>36</v>
      </c>
      <c r="C74">
        <f t="shared" si="12"/>
        <v>143.64000000000001</v>
      </c>
      <c r="E74">
        <f t="shared" si="11"/>
        <v>0</v>
      </c>
    </row>
    <row r="75" spans="1:7" x14ac:dyDescent="0.25">
      <c r="B75">
        <v>38</v>
      </c>
      <c r="C75">
        <f t="shared" si="12"/>
        <v>151.62</v>
      </c>
      <c r="E75">
        <f t="shared" si="11"/>
        <v>0</v>
      </c>
    </row>
    <row r="76" spans="1:7" x14ac:dyDescent="0.25">
      <c r="B76">
        <v>40</v>
      </c>
      <c r="C76">
        <f t="shared" si="12"/>
        <v>159.60000000000002</v>
      </c>
      <c r="E76">
        <f t="shared" si="11"/>
        <v>0</v>
      </c>
      <c r="F76" t="e">
        <f>E76^(-1/0.88)</f>
        <v>#DIV/0!</v>
      </c>
      <c r="G76">
        <v>159.60000000000002</v>
      </c>
    </row>
    <row r="77" spans="1:7" x14ac:dyDescent="0.25">
      <c r="B77">
        <v>50</v>
      </c>
      <c r="C77">
        <f t="shared" si="12"/>
        <v>199.5</v>
      </c>
      <c r="E77">
        <f t="shared" si="11"/>
        <v>0</v>
      </c>
      <c r="F77" t="e">
        <f>E77^(-1/0.88)</f>
        <v>#DIV/0!</v>
      </c>
      <c r="G77">
        <v>199.5</v>
      </c>
    </row>
    <row r="82" spans="1:7" x14ac:dyDescent="0.25">
      <c r="A82" t="s">
        <v>32</v>
      </c>
    </row>
    <row r="83" spans="1:7" x14ac:dyDescent="0.25">
      <c r="B83" t="s">
        <v>0</v>
      </c>
      <c r="C83" t="s">
        <v>4</v>
      </c>
      <c r="D83" t="s">
        <v>1</v>
      </c>
      <c r="E83" t="s">
        <v>2</v>
      </c>
      <c r="F83" t="s">
        <v>3</v>
      </c>
    </row>
    <row r="84" spans="1:7" x14ac:dyDescent="0.25">
      <c r="B84">
        <v>24</v>
      </c>
      <c r="C84">
        <f>B84*3.99</f>
        <v>95.76</v>
      </c>
      <c r="D84">
        <v>105</v>
      </c>
      <c r="E84">
        <f t="shared" ref="E84:E93" si="13">D84*2.98</f>
        <v>312.89999999999998</v>
      </c>
      <c r="F84">
        <f>E84^(-1/0.88)</f>
        <v>1.4598621881382113E-3</v>
      </c>
      <c r="G84">
        <v>95.76</v>
      </c>
    </row>
    <row r="85" spans="1:7" x14ac:dyDescent="0.25">
      <c r="B85">
        <v>26</v>
      </c>
      <c r="C85">
        <f t="shared" ref="C85:C93" si="14">B85*3.99</f>
        <v>103.74000000000001</v>
      </c>
      <c r="D85">
        <v>104</v>
      </c>
      <c r="E85">
        <f t="shared" si="13"/>
        <v>309.92</v>
      </c>
      <c r="F85">
        <f>E85^(-1/0.88)</f>
        <v>1.4758239082886936E-3</v>
      </c>
      <c r="G85">
        <v>103.74000000000001</v>
      </c>
    </row>
    <row r="86" spans="1:7" x14ac:dyDescent="0.25">
      <c r="B86">
        <v>28</v>
      </c>
      <c r="C86">
        <f t="shared" si="14"/>
        <v>111.72</v>
      </c>
      <c r="D86">
        <v>85</v>
      </c>
      <c r="E86">
        <f t="shared" si="13"/>
        <v>253.3</v>
      </c>
      <c r="F86">
        <f>E86^(-1/0.88)</f>
        <v>1.8560786502070086E-3</v>
      </c>
      <c r="G86">
        <v>111.72</v>
      </c>
    </row>
    <row r="87" spans="1:7" x14ac:dyDescent="0.25">
      <c r="B87">
        <v>30</v>
      </c>
      <c r="C87">
        <f t="shared" si="14"/>
        <v>119.7</v>
      </c>
      <c r="D87">
        <v>32</v>
      </c>
      <c r="E87">
        <f t="shared" si="13"/>
        <v>95.36</v>
      </c>
      <c r="F87">
        <f>E87^(-1/0.88)</f>
        <v>5.6327461460243889E-3</v>
      </c>
      <c r="G87">
        <v>119.7</v>
      </c>
    </row>
    <row r="88" spans="1:7" x14ac:dyDescent="0.25">
      <c r="B88">
        <v>32</v>
      </c>
      <c r="C88">
        <f t="shared" si="14"/>
        <v>127.68</v>
      </c>
      <c r="D88">
        <v>31</v>
      </c>
      <c r="E88">
        <f t="shared" si="13"/>
        <v>92.38</v>
      </c>
      <c r="F88">
        <f>E88^(-1/0.88)</f>
        <v>5.8396750879134646E-3</v>
      </c>
      <c r="G88">
        <v>127.68</v>
      </c>
    </row>
    <row r="89" spans="1:7" x14ac:dyDescent="0.25">
      <c r="B89">
        <v>34</v>
      </c>
      <c r="C89">
        <f t="shared" si="14"/>
        <v>135.66</v>
      </c>
      <c r="E89">
        <f t="shared" si="13"/>
        <v>0</v>
      </c>
    </row>
    <row r="90" spans="1:7" x14ac:dyDescent="0.25">
      <c r="B90">
        <v>36</v>
      </c>
      <c r="C90">
        <f t="shared" si="14"/>
        <v>143.64000000000001</v>
      </c>
      <c r="E90">
        <f t="shared" si="13"/>
        <v>0</v>
      </c>
    </row>
    <row r="91" spans="1:7" x14ac:dyDescent="0.25">
      <c r="B91">
        <v>38</v>
      </c>
      <c r="C91">
        <f t="shared" si="14"/>
        <v>151.62</v>
      </c>
      <c r="E91">
        <f t="shared" si="13"/>
        <v>0</v>
      </c>
    </row>
    <row r="92" spans="1:7" x14ac:dyDescent="0.25">
      <c r="B92">
        <v>40</v>
      </c>
      <c r="C92">
        <f t="shared" si="14"/>
        <v>159.60000000000002</v>
      </c>
      <c r="E92">
        <f t="shared" si="13"/>
        <v>0</v>
      </c>
      <c r="F92" t="e">
        <f>E92^(-1/0.88)</f>
        <v>#DIV/0!</v>
      </c>
      <c r="G92">
        <v>159.60000000000002</v>
      </c>
    </row>
    <row r="93" spans="1:7" x14ac:dyDescent="0.25">
      <c r="B93">
        <v>50</v>
      </c>
      <c r="C93">
        <f t="shared" si="14"/>
        <v>199.5</v>
      </c>
      <c r="E93">
        <f t="shared" si="13"/>
        <v>0</v>
      </c>
      <c r="F93" t="e">
        <f>E93^(-1/0.88)</f>
        <v>#DIV/0!</v>
      </c>
      <c r="G93">
        <v>199.5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6"/>
  <sheetViews>
    <sheetView topLeftCell="D1" workbookViewId="0">
      <selection activeCell="P2" sqref="P2:Q10"/>
    </sheetView>
  </sheetViews>
  <sheetFormatPr defaultRowHeight="15" x14ac:dyDescent="0.25"/>
  <cols>
    <col min="1" max="1" width="9.28515625" bestFit="1" customWidth="1"/>
    <col min="2" max="2" width="5" bestFit="1" customWidth="1"/>
    <col min="3" max="3" width="15.85546875" bestFit="1" customWidth="1"/>
    <col min="4" max="4" width="11.42578125" bestFit="1" customWidth="1"/>
    <col min="5" max="5" width="15" bestFit="1" customWidth="1"/>
    <col min="6" max="6" width="11.85546875" bestFit="1" customWidth="1"/>
    <col min="7" max="7" width="6.85546875" bestFit="1" customWidth="1"/>
    <col min="16" max="16" width="15.28515625" bestFit="1" customWidth="1"/>
    <col min="17" max="17" width="16.5703125" bestFit="1" customWidth="1"/>
  </cols>
  <sheetData>
    <row r="1" spans="1:17" x14ac:dyDescent="0.25">
      <c r="A1" t="s">
        <v>5</v>
      </c>
    </row>
    <row r="2" spans="1:17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P2" t="s">
        <v>14</v>
      </c>
      <c r="Q2" t="s">
        <v>15</v>
      </c>
    </row>
    <row r="3" spans="1:17" x14ac:dyDescent="0.25">
      <c r="B3">
        <v>24</v>
      </c>
      <c r="C3">
        <f>B3*3.99</f>
        <v>95.76</v>
      </c>
      <c r="D3">
        <v>14</v>
      </c>
      <c r="E3">
        <f t="shared" ref="E3:E14" si="0">D3*2.98</f>
        <v>41.72</v>
      </c>
      <c r="F3">
        <f>E3^(-1/0.88)</f>
        <v>1.4411183872075611E-2</v>
      </c>
      <c r="G3">
        <v>95.76</v>
      </c>
      <c r="P3" t="s">
        <v>16</v>
      </c>
      <c r="Q3">
        <v>81.971000000000004</v>
      </c>
    </row>
    <row r="4" spans="1:17" x14ac:dyDescent="0.25">
      <c r="B4">
        <v>26</v>
      </c>
      <c r="C4">
        <f t="shared" ref="C4:C14" si="1">B4*3.99</f>
        <v>103.74000000000001</v>
      </c>
      <c r="D4">
        <v>12</v>
      </c>
      <c r="E4">
        <f t="shared" si="0"/>
        <v>35.76</v>
      </c>
      <c r="F4">
        <f>E4^(-1/0.88)</f>
        <v>1.7170208017345791E-2</v>
      </c>
      <c r="G4">
        <v>103.74000000000001</v>
      </c>
      <c r="P4" t="s">
        <v>17</v>
      </c>
      <c r="Q4">
        <v>82.697999999999993</v>
      </c>
    </row>
    <row r="5" spans="1:17" x14ac:dyDescent="0.25">
      <c r="B5">
        <v>28</v>
      </c>
      <c r="C5">
        <f t="shared" si="1"/>
        <v>111.72</v>
      </c>
      <c r="D5">
        <v>12</v>
      </c>
      <c r="E5">
        <f t="shared" si="0"/>
        <v>35.76</v>
      </c>
      <c r="F5">
        <f>E5^(-1/0.88)</f>
        <v>1.7170208017345791E-2</v>
      </c>
      <c r="G5">
        <v>111.72</v>
      </c>
      <c r="P5" t="s">
        <v>18</v>
      </c>
    </row>
    <row r="6" spans="1:17" x14ac:dyDescent="0.25">
      <c r="B6">
        <v>30</v>
      </c>
      <c r="C6">
        <f t="shared" si="1"/>
        <v>119.7</v>
      </c>
      <c r="D6">
        <v>11</v>
      </c>
      <c r="E6">
        <f t="shared" si="0"/>
        <v>32.78</v>
      </c>
      <c r="F6">
        <f t="shared" ref="F6:F12" si="2">E6^(-1/0.88)</f>
        <v>1.8954708205023315E-2</v>
      </c>
      <c r="G6">
        <v>119.7</v>
      </c>
      <c r="P6" t="s">
        <v>19</v>
      </c>
      <c r="Q6">
        <v>67.497</v>
      </c>
    </row>
    <row r="7" spans="1:17" x14ac:dyDescent="0.25">
      <c r="B7">
        <v>32</v>
      </c>
      <c r="C7">
        <f t="shared" si="1"/>
        <v>127.68</v>
      </c>
      <c r="D7">
        <v>8</v>
      </c>
      <c r="E7">
        <f t="shared" si="0"/>
        <v>23.84</v>
      </c>
      <c r="F7">
        <f t="shared" si="2"/>
        <v>2.7219444648087589E-2</v>
      </c>
      <c r="G7">
        <v>127.68</v>
      </c>
      <c r="P7" t="s">
        <v>20</v>
      </c>
      <c r="Q7">
        <v>57.453000000000003</v>
      </c>
    </row>
    <row r="8" spans="1:17" x14ac:dyDescent="0.25">
      <c r="B8">
        <v>34</v>
      </c>
      <c r="C8">
        <f t="shared" si="1"/>
        <v>135.66</v>
      </c>
      <c r="D8">
        <v>6</v>
      </c>
      <c r="E8">
        <f t="shared" si="0"/>
        <v>17.88</v>
      </c>
      <c r="F8">
        <f t="shared" si="2"/>
        <v>3.774462345940157E-2</v>
      </c>
      <c r="G8">
        <v>135.66</v>
      </c>
      <c r="P8" t="s">
        <v>21</v>
      </c>
    </row>
    <row r="9" spans="1:17" x14ac:dyDescent="0.25">
      <c r="B9">
        <v>36</v>
      </c>
      <c r="C9">
        <f t="shared" si="1"/>
        <v>143.64000000000001</v>
      </c>
      <c r="E9">
        <f t="shared" si="0"/>
        <v>0</v>
      </c>
      <c r="F9" t="e">
        <f t="shared" si="2"/>
        <v>#DIV/0!</v>
      </c>
      <c r="G9">
        <v>143.64000000000001</v>
      </c>
      <c r="P9" t="s">
        <v>22</v>
      </c>
      <c r="Q9">
        <f>AVERAGE(Q3:Q8)</f>
        <v>72.404750000000007</v>
      </c>
    </row>
    <row r="10" spans="1:17" x14ac:dyDescent="0.25">
      <c r="B10">
        <v>38</v>
      </c>
      <c r="C10">
        <f t="shared" si="1"/>
        <v>151.62</v>
      </c>
      <c r="E10">
        <f t="shared" si="0"/>
        <v>0</v>
      </c>
      <c r="F10" t="e">
        <f t="shared" si="2"/>
        <v>#DIV/0!</v>
      </c>
      <c r="G10">
        <v>151.62</v>
      </c>
      <c r="P10" t="s">
        <v>23</v>
      </c>
      <c r="Q10">
        <f>STDEV(Q3:Q8)</f>
        <v>12.180653687302607</v>
      </c>
    </row>
    <row r="11" spans="1:17" x14ac:dyDescent="0.25">
      <c r="B11">
        <v>40</v>
      </c>
      <c r="C11">
        <f t="shared" si="1"/>
        <v>159.60000000000002</v>
      </c>
      <c r="E11">
        <f t="shared" si="0"/>
        <v>0</v>
      </c>
      <c r="F11" t="e">
        <f t="shared" si="2"/>
        <v>#DIV/0!</v>
      </c>
      <c r="G11">
        <v>159.60000000000002</v>
      </c>
    </row>
    <row r="12" spans="1:17" x14ac:dyDescent="0.25">
      <c r="B12">
        <v>50</v>
      </c>
      <c r="C12">
        <f t="shared" si="1"/>
        <v>199.5</v>
      </c>
      <c r="E12">
        <f t="shared" si="0"/>
        <v>0</v>
      </c>
      <c r="F12" t="e">
        <f t="shared" si="2"/>
        <v>#DIV/0!</v>
      </c>
      <c r="G12">
        <v>199.5</v>
      </c>
    </row>
    <row r="13" spans="1:17" x14ac:dyDescent="0.25">
      <c r="B13">
        <v>60</v>
      </c>
      <c r="C13">
        <f t="shared" si="1"/>
        <v>239.4</v>
      </c>
      <c r="E13">
        <f t="shared" si="0"/>
        <v>0</v>
      </c>
      <c r="F13" t="e">
        <f>E13^(-1/0.88)</f>
        <v>#DIV/0!</v>
      </c>
      <c r="G13">
        <v>239.4</v>
      </c>
    </row>
    <row r="14" spans="1:17" x14ac:dyDescent="0.25">
      <c r="B14">
        <v>80</v>
      </c>
      <c r="C14">
        <f t="shared" si="1"/>
        <v>319.20000000000005</v>
      </c>
      <c r="E14">
        <f t="shared" si="0"/>
        <v>0</v>
      </c>
      <c r="F14" t="e">
        <f>E14^(-1/0.88)</f>
        <v>#DIV/0!</v>
      </c>
      <c r="G14">
        <v>319.20000000000005</v>
      </c>
    </row>
    <row r="18" spans="1:7" x14ac:dyDescent="0.25">
      <c r="A18" t="s">
        <v>25</v>
      </c>
    </row>
    <row r="19" spans="1:7" x14ac:dyDescent="0.25">
      <c r="B19" t="s">
        <v>0</v>
      </c>
      <c r="C19" t="s">
        <v>4</v>
      </c>
      <c r="D19" t="s">
        <v>1</v>
      </c>
      <c r="E19" t="s">
        <v>2</v>
      </c>
      <c r="F19" t="s">
        <v>3</v>
      </c>
    </row>
    <row r="20" spans="1:7" x14ac:dyDescent="0.25">
      <c r="B20">
        <v>24</v>
      </c>
      <c r="C20">
        <f>B20*3.99</f>
        <v>95.76</v>
      </c>
      <c r="D20">
        <v>10</v>
      </c>
      <c r="E20">
        <f t="shared" ref="E20:E31" si="3">D20*2.98</f>
        <v>29.8</v>
      </c>
      <c r="F20">
        <f>E20^(-1/0.88)</f>
        <v>2.1122934160970067E-2</v>
      </c>
      <c r="G20">
        <v>95.76</v>
      </c>
    </row>
    <row r="21" spans="1:7" x14ac:dyDescent="0.25">
      <c r="B21">
        <v>26</v>
      </c>
      <c r="C21">
        <f t="shared" ref="C21:C31" si="4">B21*3.99</f>
        <v>103.74000000000001</v>
      </c>
      <c r="D21">
        <v>10</v>
      </c>
      <c r="E21">
        <f t="shared" si="3"/>
        <v>29.8</v>
      </c>
      <c r="F21">
        <f>E21^(-1/0.88)</f>
        <v>2.1122934160970067E-2</v>
      </c>
      <c r="G21">
        <v>103.74000000000001</v>
      </c>
    </row>
    <row r="22" spans="1:7" x14ac:dyDescent="0.25">
      <c r="B22">
        <v>28</v>
      </c>
      <c r="C22">
        <f t="shared" si="4"/>
        <v>111.72</v>
      </c>
      <c r="D22">
        <v>9</v>
      </c>
      <c r="E22">
        <f t="shared" si="3"/>
        <v>26.82</v>
      </c>
      <c r="F22">
        <f>E22^(-1/0.88)</f>
        <v>2.380956131593407E-2</v>
      </c>
      <c r="G22">
        <v>111.72</v>
      </c>
    </row>
    <row r="23" spans="1:7" x14ac:dyDescent="0.25">
      <c r="B23">
        <v>30</v>
      </c>
      <c r="C23">
        <f t="shared" si="4"/>
        <v>119.7</v>
      </c>
      <c r="D23">
        <v>9</v>
      </c>
      <c r="E23">
        <f t="shared" si="3"/>
        <v>26.82</v>
      </c>
      <c r="F23">
        <f t="shared" ref="F23:F29" si="5">E23^(-1/0.88)</f>
        <v>2.380956131593407E-2</v>
      </c>
      <c r="G23">
        <v>119.7</v>
      </c>
    </row>
    <row r="24" spans="1:7" x14ac:dyDescent="0.25">
      <c r="B24">
        <v>32</v>
      </c>
      <c r="C24">
        <f t="shared" si="4"/>
        <v>127.68</v>
      </c>
      <c r="D24">
        <v>8</v>
      </c>
      <c r="E24">
        <f t="shared" si="3"/>
        <v>23.84</v>
      </c>
      <c r="F24">
        <f t="shared" si="5"/>
        <v>2.7219444648087589E-2</v>
      </c>
      <c r="G24">
        <v>127.68</v>
      </c>
    </row>
    <row r="25" spans="1:7" x14ac:dyDescent="0.25">
      <c r="B25">
        <v>34</v>
      </c>
      <c r="C25">
        <f t="shared" si="4"/>
        <v>135.66</v>
      </c>
      <c r="D25">
        <v>6</v>
      </c>
      <c r="E25">
        <f t="shared" si="3"/>
        <v>17.88</v>
      </c>
      <c r="F25">
        <f t="shared" si="5"/>
        <v>3.774462345940157E-2</v>
      </c>
      <c r="G25">
        <v>135.66</v>
      </c>
    </row>
    <row r="26" spans="1:7" x14ac:dyDescent="0.25">
      <c r="B26">
        <v>36</v>
      </c>
      <c r="C26">
        <f t="shared" si="4"/>
        <v>143.64000000000001</v>
      </c>
      <c r="D26">
        <v>5</v>
      </c>
      <c r="E26">
        <f t="shared" si="3"/>
        <v>14.9</v>
      </c>
      <c r="F26">
        <f t="shared" si="5"/>
        <v>4.6433752896768397E-2</v>
      </c>
      <c r="G26">
        <v>143.64000000000001</v>
      </c>
    </row>
    <row r="27" spans="1:7" x14ac:dyDescent="0.25">
      <c r="B27">
        <v>38</v>
      </c>
      <c r="C27">
        <f t="shared" si="4"/>
        <v>151.62</v>
      </c>
      <c r="D27">
        <v>4</v>
      </c>
      <c r="E27">
        <f t="shared" si="3"/>
        <v>11.92</v>
      </c>
      <c r="F27">
        <f t="shared" si="5"/>
        <v>5.9835482946869113E-2</v>
      </c>
      <c r="G27">
        <v>151.62</v>
      </c>
    </row>
    <row r="28" spans="1:7" x14ac:dyDescent="0.25">
      <c r="B28">
        <v>40</v>
      </c>
      <c r="C28">
        <f t="shared" si="4"/>
        <v>159.60000000000002</v>
      </c>
      <c r="E28">
        <f t="shared" si="3"/>
        <v>0</v>
      </c>
      <c r="F28" t="e">
        <f t="shared" si="5"/>
        <v>#DIV/0!</v>
      </c>
      <c r="G28">
        <v>159.60000000000002</v>
      </c>
    </row>
    <row r="29" spans="1:7" x14ac:dyDescent="0.25">
      <c r="B29">
        <v>50</v>
      </c>
      <c r="C29">
        <f t="shared" si="4"/>
        <v>199.5</v>
      </c>
      <c r="E29">
        <f t="shared" si="3"/>
        <v>0</v>
      </c>
      <c r="F29" t="e">
        <f t="shared" si="5"/>
        <v>#DIV/0!</v>
      </c>
      <c r="G29">
        <v>199.5</v>
      </c>
    </row>
    <row r="30" spans="1:7" x14ac:dyDescent="0.25">
      <c r="B30">
        <v>60</v>
      </c>
      <c r="C30">
        <f t="shared" si="4"/>
        <v>239.4</v>
      </c>
      <c r="E30">
        <f t="shared" si="3"/>
        <v>0</v>
      </c>
      <c r="F30" t="e">
        <f>E30^(-1/0.88)</f>
        <v>#DIV/0!</v>
      </c>
      <c r="G30">
        <v>239.4</v>
      </c>
    </row>
    <row r="31" spans="1:7" x14ac:dyDescent="0.25">
      <c r="B31">
        <v>80</v>
      </c>
      <c r="C31">
        <f t="shared" si="4"/>
        <v>319.20000000000005</v>
      </c>
      <c r="E31">
        <f t="shared" si="3"/>
        <v>0</v>
      </c>
      <c r="F31" t="e">
        <f>E31^(-1/0.88)</f>
        <v>#DIV/0!</v>
      </c>
      <c r="G31">
        <v>319.20000000000005</v>
      </c>
    </row>
    <row r="35" spans="1:7" x14ac:dyDescent="0.25">
      <c r="A35" t="s">
        <v>12</v>
      </c>
    </row>
    <row r="36" spans="1:7" x14ac:dyDescent="0.25">
      <c r="B36" t="s">
        <v>0</v>
      </c>
      <c r="C36" t="s">
        <v>4</v>
      </c>
      <c r="D36" t="s">
        <v>1</v>
      </c>
      <c r="E36" t="s">
        <v>2</v>
      </c>
      <c r="F36" t="s">
        <v>3</v>
      </c>
    </row>
    <row r="37" spans="1:7" x14ac:dyDescent="0.25">
      <c r="B37">
        <v>24</v>
      </c>
      <c r="C37">
        <f>B37*3.99</f>
        <v>95.76</v>
      </c>
      <c r="D37">
        <v>78</v>
      </c>
      <c r="E37">
        <f t="shared" ref="E37:E48" si="6">D37*2.98</f>
        <v>232.44</v>
      </c>
      <c r="F37">
        <f>E37^(-1/0.88)</f>
        <v>2.0464935427936043E-3</v>
      </c>
      <c r="G37">
        <v>95.76</v>
      </c>
    </row>
    <row r="38" spans="1:7" x14ac:dyDescent="0.25">
      <c r="B38">
        <v>26</v>
      </c>
      <c r="C38">
        <f t="shared" ref="C38:C48" si="7">B38*3.99</f>
        <v>103.74000000000001</v>
      </c>
      <c r="D38">
        <v>78</v>
      </c>
      <c r="E38">
        <f t="shared" si="6"/>
        <v>232.44</v>
      </c>
      <c r="F38">
        <f>E38^(-1/0.88)</f>
        <v>2.0464935427936043E-3</v>
      </c>
      <c r="G38">
        <v>103.74000000000001</v>
      </c>
    </row>
    <row r="39" spans="1:7" x14ac:dyDescent="0.25">
      <c r="B39">
        <v>28</v>
      </c>
      <c r="C39">
        <f t="shared" si="7"/>
        <v>111.72</v>
      </c>
      <c r="D39">
        <v>68</v>
      </c>
      <c r="E39">
        <f t="shared" si="6"/>
        <v>202.64</v>
      </c>
      <c r="F39">
        <f>E39^(-1/0.88)</f>
        <v>2.3917808812356119E-3</v>
      </c>
      <c r="G39">
        <v>111.72</v>
      </c>
    </row>
    <row r="40" spans="1:7" x14ac:dyDescent="0.25">
      <c r="B40">
        <v>30</v>
      </c>
      <c r="C40">
        <f t="shared" si="7"/>
        <v>119.7</v>
      </c>
      <c r="D40">
        <v>66</v>
      </c>
      <c r="E40">
        <f t="shared" si="6"/>
        <v>196.68</v>
      </c>
      <c r="F40">
        <f t="shared" ref="F40:F46" si="8">E40^(-1/0.88)</f>
        <v>2.4743111865445011E-3</v>
      </c>
      <c r="G40">
        <v>119.7</v>
      </c>
    </row>
    <row r="41" spans="1:7" x14ac:dyDescent="0.25">
      <c r="B41">
        <v>32</v>
      </c>
      <c r="C41">
        <f t="shared" si="7"/>
        <v>127.68</v>
      </c>
      <c r="D41">
        <v>63</v>
      </c>
      <c r="E41">
        <f t="shared" si="6"/>
        <v>187.74</v>
      </c>
      <c r="F41">
        <f t="shared" si="8"/>
        <v>2.6086313659827404E-3</v>
      </c>
      <c r="G41">
        <v>127.68</v>
      </c>
    </row>
    <row r="42" spans="1:7" x14ac:dyDescent="0.25">
      <c r="B42">
        <v>34</v>
      </c>
      <c r="C42">
        <f t="shared" si="7"/>
        <v>135.66</v>
      </c>
      <c r="D42">
        <v>61</v>
      </c>
      <c r="E42">
        <f t="shared" si="6"/>
        <v>181.78</v>
      </c>
      <c r="F42">
        <f t="shared" si="8"/>
        <v>2.7060385442768003E-3</v>
      </c>
      <c r="G42">
        <v>135.66</v>
      </c>
    </row>
    <row r="43" spans="1:7" x14ac:dyDescent="0.25">
      <c r="B43">
        <v>36</v>
      </c>
      <c r="C43">
        <f t="shared" si="7"/>
        <v>143.64000000000001</v>
      </c>
      <c r="D43">
        <v>60</v>
      </c>
      <c r="E43">
        <f t="shared" si="6"/>
        <v>178.8</v>
      </c>
      <c r="F43">
        <f t="shared" si="8"/>
        <v>2.7573472364655128E-3</v>
      </c>
      <c r="G43">
        <v>143.64000000000001</v>
      </c>
    </row>
    <row r="44" spans="1:7" x14ac:dyDescent="0.25">
      <c r="B44">
        <v>38</v>
      </c>
      <c r="C44">
        <f t="shared" si="7"/>
        <v>151.62</v>
      </c>
      <c r="D44">
        <v>59</v>
      </c>
      <c r="E44">
        <f t="shared" si="6"/>
        <v>175.82</v>
      </c>
      <c r="F44">
        <f t="shared" si="8"/>
        <v>2.8105159241990389E-3</v>
      </c>
      <c r="G44">
        <v>151.62</v>
      </c>
    </row>
    <row r="45" spans="1:7" x14ac:dyDescent="0.25">
      <c r="B45">
        <v>40</v>
      </c>
      <c r="C45">
        <f t="shared" si="7"/>
        <v>159.60000000000002</v>
      </c>
      <c r="D45">
        <v>58</v>
      </c>
      <c r="E45">
        <f t="shared" si="6"/>
        <v>172.84</v>
      </c>
      <c r="F45">
        <f t="shared" si="8"/>
        <v>2.8656453041757948E-3</v>
      </c>
      <c r="G45">
        <v>159.60000000000002</v>
      </c>
    </row>
    <row r="46" spans="1:7" x14ac:dyDescent="0.25">
      <c r="B46">
        <v>50</v>
      </c>
      <c r="C46">
        <f t="shared" si="7"/>
        <v>199.5</v>
      </c>
      <c r="D46">
        <v>25</v>
      </c>
      <c r="E46">
        <f t="shared" si="6"/>
        <v>74.5</v>
      </c>
      <c r="F46">
        <f t="shared" si="8"/>
        <v>7.4567518401223581E-3</v>
      </c>
      <c r="G46">
        <v>199.5</v>
      </c>
    </row>
    <row r="47" spans="1:7" x14ac:dyDescent="0.25">
      <c r="B47">
        <v>60</v>
      </c>
      <c r="C47">
        <f t="shared" si="7"/>
        <v>239.4</v>
      </c>
      <c r="E47">
        <f t="shared" si="6"/>
        <v>0</v>
      </c>
      <c r="F47" t="e">
        <f>E47^(-1/0.88)</f>
        <v>#DIV/0!</v>
      </c>
      <c r="G47">
        <v>239.4</v>
      </c>
    </row>
    <row r="48" spans="1:7" x14ac:dyDescent="0.25">
      <c r="B48">
        <v>80</v>
      </c>
      <c r="C48">
        <f t="shared" si="7"/>
        <v>319.20000000000005</v>
      </c>
      <c r="E48">
        <f t="shared" si="6"/>
        <v>0</v>
      </c>
      <c r="F48" t="e">
        <f>E48^(-1/0.88)</f>
        <v>#DIV/0!</v>
      </c>
      <c r="G48">
        <v>319.20000000000005</v>
      </c>
    </row>
    <row r="51" spans="1:7" x14ac:dyDescent="0.25">
      <c r="A51" t="s">
        <v>56</v>
      </c>
    </row>
    <row r="52" spans="1:7" x14ac:dyDescent="0.25">
      <c r="B52" t="s">
        <v>0</v>
      </c>
      <c r="C52" t="s">
        <v>4</v>
      </c>
      <c r="D52" t="s">
        <v>1</v>
      </c>
      <c r="E52" t="s">
        <v>2</v>
      </c>
      <c r="F52" t="s">
        <v>3</v>
      </c>
    </row>
    <row r="53" spans="1:7" x14ac:dyDescent="0.25">
      <c r="B53">
        <v>24</v>
      </c>
      <c r="C53">
        <f>B53*3.99</f>
        <v>95.76</v>
      </c>
      <c r="D53">
        <v>26</v>
      </c>
      <c r="E53">
        <f t="shared" ref="E53:E64" si="9">D53*2.98</f>
        <v>77.48</v>
      </c>
      <c r="F53">
        <f>E53^(-1/0.88)</f>
        <v>7.1317091416131561E-3</v>
      </c>
      <c r="G53">
        <v>95.76</v>
      </c>
    </row>
    <row r="54" spans="1:7" x14ac:dyDescent="0.25">
      <c r="B54">
        <v>26</v>
      </c>
      <c r="C54">
        <f t="shared" ref="C54:C64" si="10">B54*3.99</f>
        <v>103.74000000000001</v>
      </c>
      <c r="D54">
        <v>23</v>
      </c>
      <c r="E54">
        <f t="shared" si="9"/>
        <v>68.540000000000006</v>
      </c>
      <c r="F54">
        <f>E54^(-1/0.88)</f>
        <v>8.1978484653347193E-3</v>
      </c>
      <c r="G54">
        <v>103.74000000000001</v>
      </c>
    </row>
    <row r="55" spans="1:7" x14ac:dyDescent="0.25">
      <c r="B55">
        <v>28</v>
      </c>
      <c r="C55">
        <f t="shared" si="10"/>
        <v>111.72</v>
      </c>
      <c r="D55">
        <v>15</v>
      </c>
      <c r="E55">
        <f t="shared" si="9"/>
        <v>44.7</v>
      </c>
      <c r="F55">
        <f>E55^(-1/0.88)</f>
        <v>1.3324488363727047E-2</v>
      </c>
      <c r="G55">
        <v>111.72</v>
      </c>
    </row>
    <row r="56" spans="1:7" x14ac:dyDescent="0.25">
      <c r="B56">
        <v>30</v>
      </c>
      <c r="C56">
        <f t="shared" si="10"/>
        <v>119.7</v>
      </c>
      <c r="D56">
        <v>15</v>
      </c>
      <c r="E56">
        <f t="shared" si="9"/>
        <v>44.7</v>
      </c>
      <c r="F56">
        <f t="shared" ref="F56:F62" si="11">E56^(-1/0.88)</f>
        <v>1.3324488363727047E-2</v>
      </c>
      <c r="G56">
        <v>119.7</v>
      </c>
    </row>
    <row r="57" spans="1:7" x14ac:dyDescent="0.25">
      <c r="B57">
        <v>32</v>
      </c>
      <c r="C57">
        <f t="shared" si="10"/>
        <v>127.68</v>
      </c>
      <c r="D57">
        <v>14</v>
      </c>
      <c r="E57">
        <f t="shared" si="9"/>
        <v>41.72</v>
      </c>
      <c r="F57">
        <f t="shared" si="11"/>
        <v>1.4411183872075611E-2</v>
      </c>
      <c r="G57">
        <v>127.68</v>
      </c>
    </row>
    <row r="58" spans="1:7" x14ac:dyDescent="0.25">
      <c r="B58">
        <v>34</v>
      </c>
      <c r="C58">
        <f t="shared" si="10"/>
        <v>135.66</v>
      </c>
      <c r="D58">
        <v>13</v>
      </c>
      <c r="E58">
        <f t="shared" si="9"/>
        <v>38.74</v>
      </c>
      <c r="F58">
        <f t="shared" si="11"/>
        <v>1.5677368375515564E-2</v>
      </c>
      <c r="G58">
        <v>135.66</v>
      </c>
    </row>
    <row r="59" spans="1:7" x14ac:dyDescent="0.25">
      <c r="B59">
        <v>36</v>
      </c>
      <c r="C59">
        <f t="shared" si="10"/>
        <v>143.64000000000001</v>
      </c>
      <c r="D59">
        <v>2</v>
      </c>
      <c r="E59">
        <f t="shared" si="9"/>
        <v>5.96</v>
      </c>
      <c r="F59">
        <f t="shared" si="11"/>
        <v>0.13153409504762295</v>
      </c>
      <c r="G59">
        <v>143.64000000000001</v>
      </c>
    </row>
    <row r="60" spans="1:7" x14ac:dyDescent="0.25">
      <c r="B60">
        <v>38</v>
      </c>
      <c r="C60">
        <f t="shared" si="10"/>
        <v>151.62</v>
      </c>
      <c r="D60">
        <v>2</v>
      </c>
      <c r="E60">
        <f t="shared" si="9"/>
        <v>5.96</v>
      </c>
      <c r="F60">
        <f t="shared" si="11"/>
        <v>0.13153409504762295</v>
      </c>
      <c r="G60">
        <v>151.62</v>
      </c>
    </row>
    <row r="61" spans="1:7" x14ac:dyDescent="0.25">
      <c r="B61">
        <v>40</v>
      </c>
      <c r="C61">
        <f t="shared" si="10"/>
        <v>159.60000000000002</v>
      </c>
      <c r="E61">
        <f t="shared" si="9"/>
        <v>0</v>
      </c>
      <c r="F61" t="e">
        <f t="shared" si="11"/>
        <v>#DIV/0!</v>
      </c>
      <c r="G61">
        <v>159.60000000000002</v>
      </c>
    </row>
    <row r="62" spans="1:7" x14ac:dyDescent="0.25">
      <c r="B62">
        <v>50</v>
      </c>
      <c r="C62">
        <f t="shared" si="10"/>
        <v>199.5</v>
      </c>
      <c r="E62">
        <f t="shared" si="9"/>
        <v>0</v>
      </c>
      <c r="F62" t="e">
        <f t="shared" si="11"/>
        <v>#DIV/0!</v>
      </c>
      <c r="G62">
        <v>199.5</v>
      </c>
    </row>
    <row r="63" spans="1:7" x14ac:dyDescent="0.25">
      <c r="B63">
        <v>60</v>
      </c>
      <c r="C63">
        <f t="shared" si="10"/>
        <v>239.4</v>
      </c>
      <c r="E63">
        <f t="shared" si="9"/>
        <v>0</v>
      </c>
      <c r="F63" t="e">
        <f>E63^(-1/0.88)</f>
        <v>#DIV/0!</v>
      </c>
      <c r="G63">
        <v>239.4</v>
      </c>
    </row>
    <row r="64" spans="1:7" x14ac:dyDescent="0.25">
      <c r="B64">
        <v>80</v>
      </c>
      <c r="C64">
        <f t="shared" si="10"/>
        <v>319.20000000000005</v>
      </c>
      <c r="E64">
        <f t="shared" si="9"/>
        <v>0</v>
      </c>
      <c r="F64" t="e">
        <f>E64^(-1/0.88)</f>
        <v>#DIV/0!</v>
      </c>
      <c r="G64">
        <v>319.20000000000005</v>
      </c>
    </row>
    <row r="67" spans="1:7" x14ac:dyDescent="0.25">
      <c r="A67" t="s">
        <v>31</v>
      </c>
    </row>
    <row r="68" spans="1:7" x14ac:dyDescent="0.25">
      <c r="B68" t="s">
        <v>0</v>
      </c>
      <c r="C68" t="s">
        <v>4</v>
      </c>
      <c r="D68" t="s">
        <v>1</v>
      </c>
      <c r="E68" t="s">
        <v>2</v>
      </c>
      <c r="F68" t="s">
        <v>3</v>
      </c>
    </row>
    <row r="69" spans="1:7" x14ac:dyDescent="0.25">
      <c r="B69">
        <v>24</v>
      </c>
      <c r="C69">
        <f>B69*3.99</f>
        <v>95.76</v>
      </c>
      <c r="D69">
        <v>17</v>
      </c>
      <c r="E69">
        <f t="shared" ref="E69:E80" si="12">D69*2.98</f>
        <v>50.66</v>
      </c>
      <c r="F69">
        <f>E69^(-1/0.88)</f>
        <v>1.1557940943796448E-2</v>
      </c>
      <c r="G69">
        <v>95.76</v>
      </c>
    </row>
    <row r="70" spans="1:7" x14ac:dyDescent="0.25">
      <c r="B70">
        <v>26</v>
      </c>
      <c r="C70">
        <f t="shared" ref="C70:C80" si="13">B70*3.99</f>
        <v>103.74000000000001</v>
      </c>
      <c r="D70">
        <v>14</v>
      </c>
      <c r="E70">
        <f t="shared" si="12"/>
        <v>41.72</v>
      </c>
      <c r="F70">
        <f>E70^(-1/0.88)</f>
        <v>1.4411183872075611E-2</v>
      </c>
      <c r="G70">
        <v>103.74000000000001</v>
      </c>
    </row>
    <row r="71" spans="1:7" x14ac:dyDescent="0.25">
      <c r="B71">
        <v>28</v>
      </c>
      <c r="C71">
        <f t="shared" si="13"/>
        <v>111.72</v>
      </c>
      <c r="D71">
        <v>13</v>
      </c>
      <c r="E71">
        <f t="shared" si="12"/>
        <v>38.74</v>
      </c>
      <c r="F71">
        <f>E71^(-1/0.88)</f>
        <v>1.5677368375515564E-2</v>
      </c>
      <c r="G71">
        <v>111.72</v>
      </c>
    </row>
    <row r="72" spans="1:7" x14ac:dyDescent="0.25">
      <c r="B72">
        <v>30</v>
      </c>
      <c r="C72">
        <f t="shared" si="13"/>
        <v>119.7</v>
      </c>
      <c r="D72">
        <v>11</v>
      </c>
      <c r="E72">
        <f t="shared" si="12"/>
        <v>32.78</v>
      </c>
      <c r="F72">
        <f t="shared" ref="F72:F78" si="14">E72^(-1/0.88)</f>
        <v>1.8954708205023315E-2</v>
      </c>
      <c r="G72">
        <v>119.7</v>
      </c>
    </row>
    <row r="73" spans="1:7" x14ac:dyDescent="0.25">
      <c r="B73">
        <v>32</v>
      </c>
      <c r="C73">
        <f t="shared" si="13"/>
        <v>127.68</v>
      </c>
      <c r="E73">
        <f t="shared" si="12"/>
        <v>0</v>
      </c>
      <c r="F73" t="e">
        <f t="shared" si="14"/>
        <v>#DIV/0!</v>
      </c>
      <c r="G73">
        <v>127.68</v>
      </c>
    </row>
    <row r="74" spans="1:7" x14ac:dyDescent="0.25">
      <c r="B74">
        <v>34</v>
      </c>
      <c r="C74">
        <f t="shared" si="13"/>
        <v>135.66</v>
      </c>
      <c r="E74">
        <f t="shared" si="12"/>
        <v>0</v>
      </c>
      <c r="F74" t="e">
        <f t="shared" si="14"/>
        <v>#DIV/0!</v>
      </c>
      <c r="G74">
        <v>135.66</v>
      </c>
    </row>
    <row r="75" spans="1:7" x14ac:dyDescent="0.25">
      <c r="B75">
        <v>36</v>
      </c>
      <c r="C75">
        <f t="shared" si="13"/>
        <v>143.64000000000001</v>
      </c>
      <c r="E75">
        <f t="shared" si="12"/>
        <v>0</v>
      </c>
      <c r="F75" t="e">
        <f t="shared" si="14"/>
        <v>#DIV/0!</v>
      </c>
      <c r="G75">
        <v>143.64000000000001</v>
      </c>
    </row>
    <row r="76" spans="1:7" x14ac:dyDescent="0.25">
      <c r="B76">
        <v>38</v>
      </c>
      <c r="C76">
        <f t="shared" si="13"/>
        <v>151.62</v>
      </c>
      <c r="E76">
        <f t="shared" si="12"/>
        <v>0</v>
      </c>
      <c r="F76" t="e">
        <f t="shared" si="14"/>
        <v>#DIV/0!</v>
      </c>
      <c r="G76">
        <v>151.62</v>
      </c>
    </row>
    <row r="77" spans="1:7" x14ac:dyDescent="0.25">
      <c r="B77">
        <v>40</v>
      </c>
      <c r="C77">
        <f t="shared" si="13"/>
        <v>159.60000000000002</v>
      </c>
      <c r="E77">
        <f t="shared" si="12"/>
        <v>0</v>
      </c>
      <c r="F77" t="e">
        <f t="shared" si="14"/>
        <v>#DIV/0!</v>
      </c>
      <c r="G77">
        <v>159.60000000000002</v>
      </c>
    </row>
    <row r="78" spans="1:7" x14ac:dyDescent="0.25">
      <c r="B78">
        <v>50</v>
      </c>
      <c r="C78">
        <f t="shared" si="13"/>
        <v>199.5</v>
      </c>
      <c r="E78">
        <f t="shared" si="12"/>
        <v>0</v>
      </c>
      <c r="F78" t="e">
        <f t="shared" si="14"/>
        <v>#DIV/0!</v>
      </c>
      <c r="G78">
        <v>199.5</v>
      </c>
    </row>
    <row r="79" spans="1:7" x14ac:dyDescent="0.25">
      <c r="B79">
        <v>60</v>
      </c>
      <c r="C79">
        <f t="shared" si="13"/>
        <v>239.4</v>
      </c>
      <c r="E79">
        <f t="shared" si="12"/>
        <v>0</v>
      </c>
      <c r="F79" t="e">
        <f>E79^(-1/0.88)</f>
        <v>#DIV/0!</v>
      </c>
      <c r="G79">
        <v>239.4</v>
      </c>
    </row>
    <row r="80" spans="1:7" x14ac:dyDescent="0.25">
      <c r="B80">
        <v>80</v>
      </c>
      <c r="C80">
        <f t="shared" si="13"/>
        <v>319.20000000000005</v>
      </c>
      <c r="E80">
        <f t="shared" si="12"/>
        <v>0</v>
      </c>
      <c r="F80" t="e">
        <f>E80^(-1/0.88)</f>
        <v>#DIV/0!</v>
      </c>
      <c r="G80">
        <v>319.20000000000005</v>
      </c>
    </row>
    <row r="83" spans="1:7" x14ac:dyDescent="0.25">
      <c r="A83" t="s">
        <v>32</v>
      </c>
    </row>
    <row r="84" spans="1:7" x14ac:dyDescent="0.25">
      <c r="B84" t="s">
        <v>0</v>
      </c>
      <c r="C84" t="s">
        <v>4</v>
      </c>
      <c r="D84" t="s">
        <v>1</v>
      </c>
      <c r="E84" t="s">
        <v>2</v>
      </c>
      <c r="F84" t="s">
        <v>3</v>
      </c>
    </row>
    <row r="85" spans="1:7" x14ac:dyDescent="0.25">
      <c r="B85">
        <v>24</v>
      </c>
      <c r="C85">
        <f>B85*3.99</f>
        <v>95.76</v>
      </c>
      <c r="D85">
        <v>36</v>
      </c>
      <c r="E85">
        <f t="shared" ref="E85:E96" si="15">D85*2.98</f>
        <v>107.28</v>
      </c>
      <c r="F85">
        <f>E85^(-1/0.88)</f>
        <v>4.9271106179707355E-3</v>
      </c>
      <c r="G85">
        <v>95.76</v>
      </c>
    </row>
    <row r="86" spans="1:7" x14ac:dyDescent="0.25">
      <c r="B86">
        <v>26</v>
      </c>
      <c r="C86">
        <f t="shared" ref="C86:C96" si="16">B86*3.99</f>
        <v>103.74000000000001</v>
      </c>
      <c r="D86">
        <v>36</v>
      </c>
      <c r="E86">
        <f t="shared" si="15"/>
        <v>107.28</v>
      </c>
      <c r="F86">
        <f>E86^(-1/0.88)</f>
        <v>4.9271106179707355E-3</v>
      </c>
      <c r="G86">
        <v>103.74000000000001</v>
      </c>
    </row>
    <row r="87" spans="1:7" x14ac:dyDescent="0.25">
      <c r="B87">
        <v>28</v>
      </c>
      <c r="C87">
        <f t="shared" si="16"/>
        <v>111.72</v>
      </c>
      <c r="D87">
        <v>35</v>
      </c>
      <c r="E87">
        <f t="shared" si="15"/>
        <v>104.3</v>
      </c>
      <c r="F87">
        <f>E87^(-1/0.88)</f>
        <v>5.0873908443554222E-3</v>
      </c>
      <c r="G87">
        <v>111.72</v>
      </c>
    </row>
    <row r="88" spans="1:7" x14ac:dyDescent="0.25">
      <c r="B88">
        <v>30</v>
      </c>
      <c r="C88">
        <f t="shared" si="16"/>
        <v>119.7</v>
      </c>
      <c r="D88">
        <v>35</v>
      </c>
      <c r="E88">
        <f t="shared" si="15"/>
        <v>104.3</v>
      </c>
      <c r="F88">
        <f t="shared" ref="F88:F94" si="17">E88^(-1/0.88)</f>
        <v>5.0873908443554222E-3</v>
      </c>
      <c r="G88">
        <v>119.7</v>
      </c>
    </row>
    <row r="89" spans="1:7" x14ac:dyDescent="0.25">
      <c r="B89">
        <v>32</v>
      </c>
      <c r="C89">
        <f t="shared" si="16"/>
        <v>127.68</v>
      </c>
      <c r="D89">
        <v>34</v>
      </c>
      <c r="E89">
        <f t="shared" si="15"/>
        <v>101.32</v>
      </c>
      <c r="F89">
        <f t="shared" si="17"/>
        <v>5.2577620881723644E-3</v>
      </c>
      <c r="G89">
        <v>127.68</v>
      </c>
    </row>
    <row r="90" spans="1:7" x14ac:dyDescent="0.25">
      <c r="B90">
        <v>34</v>
      </c>
      <c r="C90">
        <f t="shared" si="16"/>
        <v>135.66</v>
      </c>
      <c r="D90">
        <v>34</v>
      </c>
      <c r="E90">
        <f t="shared" si="15"/>
        <v>101.32</v>
      </c>
      <c r="F90">
        <f t="shared" si="17"/>
        <v>5.2577620881723644E-3</v>
      </c>
      <c r="G90">
        <v>135.66</v>
      </c>
    </row>
    <row r="91" spans="1:7" x14ac:dyDescent="0.25">
      <c r="B91">
        <v>36</v>
      </c>
      <c r="C91">
        <f t="shared" si="16"/>
        <v>143.64000000000001</v>
      </c>
      <c r="D91">
        <v>34</v>
      </c>
      <c r="E91">
        <f t="shared" si="15"/>
        <v>101.32</v>
      </c>
      <c r="F91">
        <f t="shared" si="17"/>
        <v>5.2577620881723644E-3</v>
      </c>
      <c r="G91">
        <v>143.64000000000001</v>
      </c>
    </row>
    <row r="92" spans="1:7" x14ac:dyDescent="0.25">
      <c r="B92">
        <v>38</v>
      </c>
      <c r="C92">
        <f t="shared" si="16"/>
        <v>151.62</v>
      </c>
      <c r="D92">
        <v>33</v>
      </c>
      <c r="E92">
        <f t="shared" si="15"/>
        <v>98.34</v>
      </c>
      <c r="F92">
        <f t="shared" si="17"/>
        <v>5.4391853589170489E-3</v>
      </c>
      <c r="G92">
        <v>151.62</v>
      </c>
    </row>
    <row r="93" spans="1:7" x14ac:dyDescent="0.25">
      <c r="B93">
        <v>40</v>
      </c>
      <c r="C93">
        <f t="shared" si="16"/>
        <v>159.60000000000002</v>
      </c>
      <c r="D93">
        <v>32</v>
      </c>
      <c r="E93">
        <f t="shared" si="15"/>
        <v>95.36</v>
      </c>
      <c r="F93">
        <f t="shared" si="17"/>
        <v>5.6327461460243889E-3</v>
      </c>
      <c r="G93">
        <v>159.60000000000002</v>
      </c>
    </row>
    <row r="94" spans="1:7" x14ac:dyDescent="0.25">
      <c r="B94">
        <v>50</v>
      </c>
      <c r="C94">
        <f t="shared" si="16"/>
        <v>199.5</v>
      </c>
      <c r="D94">
        <v>30</v>
      </c>
      <c r="E94">
        <f t="shared" si="15"/>
        <v>89.4</v>
      </c>
      <c r="F94">
        <f t="shared" si="17"/>
        <v>6.0613728780730567E-3</v>
      </c>
      <c r="G94">
        <v>199.5</v>
      </c>
    </row>
    <row r="95" spans="1:7" x14ac:dyDescent="0.25">
      <c r="B95">
        <v>60</v>
      </c>
      <c r="C95">
        <f t="shared" si="16"/>
        <v>239.4</v>
      </c>
      <c r="E95">
        <f t="shared" si="15"/>
        <v>0</v>
      </c>
      <c r="F95" t="e">
        <f>E95^(-1/0.88)</f>
        <v>#DIV/0!</v>
      </c>
      <c r="G95">
        <v>239.4</v>
      </c>
    </row>
    <row r="96" spans="1:7" x14ac:dyDescent="0.25">
      <c r="B96">
        <v>80</v>
      </c>
      <c r="C96">
        <f t="shared" si="16"/>
        <v>319.20000000000005</v>
      </c>
      <c r="E96">
        <f t="shared" si="15"/>
        <v>0</v>
      </c>
      <c r="F96" t="e">
        <f>E96^(-1/0.88)</f>
        <v>#DIV/0!</v>
      </c>
      <c r="G96">
        <v>319.20000000000005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2"/>
  <sheetViews>
    <sheetView topLeftCell="G1" workbookViewId="0">
      <selection activeCell="R1" sqref="R1:S10"/>
    </sheetView>
  </sheetViews>
  <sheetFormatPr defaultRowHeight="15" x14ac:dyDescent="0.25"/>
  <cols>
    <col min="1" max="1" width="10.42578125" bestFit="1" customWidth="1"/>
    <col min="2" max="2" width="6.28515625" bestFit="1" customWidth="1"/>
    <col min="3" max="3" width="19.140625" bestFit="1" customWidth="1"/>
    <col min="4" max="4" width="13.7109375" bestFit="1" customWidth="1"/>
    <col min="5" max="5" width="17.7109375" bestFit="1" customWidth="1"/>
    <col min="6" max="6" width="12" bestFit="1" customWidth="1"/>
    <col min="7" max="7" width="7" bestFit="1" customWidth="1"/>
    <col min="18" max="18" width="18" bestFit="1" customWidth="1"/>
    <col min="19" max="19" width="20" bestFit="1" customWidth="1"/>
  </cols>
  <sheetData>
    <row r="1" spans="1:19" x14ac:dyDescent="0.25">
      <c r="A1" t="s">
        <v>5</v>
      </c>
    </row>
    <row r="2" spans="1:19" x14ac:dyDescent="0.25">
      <c r="B2" t="s">
        <v>0</v>
      </c>
      <c r="C2" t="s">
        <v>4</v>
      </c>
      <c r="D2" t="s">
        <v>1</v>
      </c>
      <c r="E2" t="s">
        <v>2</v>
      </c>
      <c r="F2" t="s">
        <v>3</v>
      </c>
      <c r="R2" t="s">
        <v>14</v>
      </c>
      <c r="S2" t="s">
        <v>15</v>
      </c>
    </row>
    <row r="3" spans="1:19" x14ac:dyDescent="0.25">
      <c r="B3">
        <v>24</v>
      </c>
      <c r="C3">
        <f>B3*3.99</f>
        <v>95.76</v>
      </c>
      <c r="E3">
        <f t="shared" ref="E3:E14" si="0">D3*2.98</f>
        <v>0</v>
      </c>
      <c r="F3" t="e">
        <f>E3^(-1/0.88)</f>
        <v>#DIV/0!</v>
      </c>
      <c r="G3">
        <v>95.76</v>
      </c>
      <c r="R3" t="s">
        <v>16</v>
      </c>
      <c r="S3">
        <v>139.63999999999999</v>
      </c>
    </row>
    <row r="4" spans="1:19" x14ac:dyDescent="0.25">
      <c r="B4">
        <v>26</v>
      </c>
      <c r="C4">
        <f t="shared" ref="C4:C14" si="1">B4*3.99</f>
        <v>103.74000000000001</v>
      </c>
      <c r="E4">
        <f t="shared" si="0"/>
        <v>0</v>
      </c>
      <c r="F4" t="e">
        <f>E4^(-1/0.88)</f>
        <v>#DIV/0!</v>
      </c>
      <c r="G4">
        <v>103.74000000000001</v>
      </c>
      <c r="R4" t="s">
        <v>17</v>
      </c>
      <c r="S4">
        <v>119.44</v>
      </c>
    </row>
    <row r="5" spans="1:19" x14ac:dyDescent="0.25">
      <c r="B5">
        <v>28</v>
      </c>
      <c r="C5">
        <f t="shared" si="1"/>
        <v>111.72</v>
      </c>
      <c r="E5">
        <f t="shared" si="0"/>
        <v>0</v>
      </c>
      <c r="F5" t="e">
        <f>E5^(-1/0.88)</f>
        <v>#DIV/0!</v>
      </c>
      <c r="G5">
        <v>111.72</v>
      </c>
      <c r="R5" t="s">
        <v>18</v>
      </c>
      <c r="S5">
        <v>142.01</v>
      </c>
    </row>
    <row r="6" spans="1:19" x14ac:dyDescent="0.25">
      <c r="B6">
        <v>30</v>
      </c>
      <c r="C6">
        <f t="shared" si="1"/>
        <v>119.7</v>
      </c>
      <c r="E6">
        <f t="shared" si="0"/>
        <v>0</v>
      </c>
      <c r="F6" t="e">
        <f t="shared" ref="F6:F12" si="2">E6^(-1/0.88)</f>
        <v>#DIV/0!</v>
      </c>
      <c r="G6">
        <v>119.7</v>
      </c>
      <c r="R6" t="s">
        <v>19</v>
      </c>
      <c r="S6">
        <v>127.08</v>
      </c>
    </row>
    <row r="7" spans="1:19" x14ac:dyDescent="0.25">
      <c r="B7">
        <v>32</v>
      </c>
      <c r="C7">
        <f t="shared" si="1"/>
        <v>127.68</v>
      </c>
      <c r="E7">
        <f t="shared" si="0"/>
        <v>0</v>
      </c>
      <c r="F7" t="e">
        <f t="shared" si="2"/>
        <v>#DIV/0!</v>
      </c>
      <c r="G7">
        <v>127.68</v>
      </c>
      <c r="R7" t="s">
        <v>20</v>
      </c>
      <c r="S7">
        <v>129.65</v>
      </c>
    </row>
    <row r="8" spans="1:19" x14ac:dyDescent="0.25">
      <c r="B8">
        <v>34</v>
      </c>
      <c r="C8">
        <f t="shared" si="1"/>
        <v>135.66</v>
      </c>
      <c r="E8">
        <f t="shared" si="0"/>
        <v>0</v>
      </c>
      <c r="F8" t="e">
        <f t="shared" si="2"/>
        <v>#DIV/0!</v>
      </c>
      <c r="G8">
        <v>135.66</v>
      </c>
      <c r="R8" t="s">
        <v>21</v>
      </c>
      <c r="S8">
        <v>68.17</v>
      </c>
    </row>
    <row r="9" spans="1:19" x14ac:dyDescent="0.25">
      <c r="B9">
        <v>36</v>
      </c>
      <c r="C9">
        <f t="shared" si="1"/>
        <v>143.64000000000001</v>
      </c>
      <c r="D9">
        <v>433</v>
      </c>
      <c r="E9">
        <f t="shared" si="0"/>
        <v>1290.3399999999999</v>
      </c>
      <c r="F9">
        <f t="shared" si="2"/>
        <v>2.9181587127800082E-4</v>
      </c>
      <c r="G9">
        <v>143.64000000000001</v>
      </c>
      <c r="R9" t="s">
        <v>22</v>
      </c>
      <c r="S9">
        <f>AVERAGE(S3:S8)</f>
        <v>120.99833333333332</v>
      </c>
    </row>
    <row r="10" spans="1:19" x14ac:dyDescent="0.25">
      <c r="B10">
        <v>38</v>
      </c>
      <c r="C10">
        <f t="shared" si="1"/>
        <v>151.62</v>
      </c>
      <c r="D10">
        <v>419</v>
      </c>
      <c r="E10">
        <f t="shared" si="0"/>
        <v>1248.6199999999999</v>
      </c>
      <c r="F10">
        <f t="shared" si="2"/>
        <v>3.0292088660440755E-4</v>
      </c>
      <c r="G10">
        <v>151.62</v>
      </c>
      <c r="R10" t="s">
        <v>23</v>
      </c>
      <c r="S10">
        <f>STDEV(S3:S8)</f>
        <v>27.181247518586673</v>
      </c>
    </row>
    <row r="11" spans="1:19" x14ac:dyDescent="0.25">
      <c r="B11">
        <v>40</v>
      </c>
      <c r="C11">
        <f t="shared" si="1"/>
        <v>159.60000000000002</v>
      </c>
      <c r="D11">
        <v>175</v>
      </c>
      <c r="E11">
        <f t="shared" si="0"/>
        <v>521.5</v>
      </c>
      <c r="F11">
        <f t="shared" si="2"/>
        <v>8.1697921605447207E-4</v>
      </c>
      <c r="G11">
        <v>159.60000000000002</v>
      </c>
    </row>
    <row r="12" spans="1:19" x14ac:dyDescent="0.25">
      <c r="B12">
        <v>50</v>
      </c>
      <c r="C12">
        <f t="shared" si="1"/>
        <v>199.5</v>
      </c>
      <c r="D12">
        <v>76</v>
      </c>
      <c r="E12">
        <f t="shared" si="0"/>
        <v>226.48</v>
      </c>
      <c r="F12">
        <f t="shared" si="2"/>
        <v>2.1078014973171261E-3</v>
      </c>
      <c r="G12">
        <v>199.5</v>
      </c>
    </row>
    <row r="13" spans="1:19" x14ac:dyDescent="0.25">
      <c r="B13">
        <v>60</v>
      </c>
      <c r="C13">
        <f t="shared" si="1"/>
        <v>239.4</v>
      </c>
      <c r="D13">
        <v>66</v>
      </c>
      <c r="E13">
        <f t="shared" si="0"/>
        <v>196.68</v>
      </c>
      <c r="F13">
        <f>E13^(-1/0.88)</f>
        <v>2.4743111865445011E-3</v>
      </c>
      <c r="G13">
        <v>239.4</v>
      </c>
    </row>
    <row r="14" spans="1:19" x14ac:dyDescent="0.25">
      <c r="B14">
        <v>80</v>
      </c>
      <c r="C14">
        <f t="shared" si="1"/>
        <v>319.20000000000005</v>
      </c>
      <c r="D14">
        <v>31</v>
      </c>
      <c r="E14">
        <f t="shared" si="0"/>
        <v>92.38</v>
      </c>
      <c r="F14">
        <f>E14^(-1/0.88)</f>
        <v>5.8396750879134646E-3</v>
      </c>
      <c r="G14">
        <v>319.20000000000005</v>
      </c>
    </row>
    <row r="17" spans="1:7" x14ac:dyDescent="0.25">
      <c r="A17" t="s">
        <v>25</v>
      </c>
    </row>
    <row r="18" spans="1:7" x14ac:dyDescent="0.25">
      <c r="B18" t="s">
        <v>0</v>
      </c>
      <c r="C18" t="s">
        <v>4</v>
      </c>
      <c r="D18" t="s">
        <v>1</v>
      </c>
      <c r="E18" t="s">
        <v>2</v>
      </c>
      <c r="F18" t="s">
        <v>3</v>
      </c>
    </row>
    <row r="19" spans="1:7" x14ac:dyDescent="0.25">
      <c r="B19">
        <v>24</v>
      </c>
      <c r="C19">
        <f>B19*3.99</f>
        <v>95.76</v>
      </c>
      <c r="E19">
        <f t="shared" ref="E19:E30" si="3">D19*2.98</f>
        <v>0</v>
      </c>
      <c r="F19" t="e">
        <f>E19^(-1/0.88)</f>
        <v>#DIV/0!</v>
      </c>
      <c r="G19">
        <v>95.76</v>
      </c>
    </row>
    <row r="20" spans="1:7" x14ac:dyDescent="0.25">
      <c r="B20">
        <v>26</v>
      </c>
      <c r="C20">
        <f t="shared" ref="C20:C30" si="4">B20*3.99</f>
        <v>103.74000000000001</v>
      </c>
      <c r="E20">
        <f t="shared" si="3"/>
        <v>0</v>
      </c>
      <c r="F20" t="e">
        <f>E20^(-1/0.88)</f>
        <v>#DIV/0!</v>
      </c>
      <c r="G20">
        <v>103.74000000000001</v>
      </c>
    </row>
    <row r="21" spans="1:7" x14ac:dyDescent="0.25">
      <c r="B21">
        <v>28</v>
      </c>
      <c r="C21">
        <f t="shared" si="4"/>
        <v>111.72</v>
      </c>
      <c r="E21">
        <f t="shared" si="3"/>
        <v>0</v>
      </c>
      <c r="F21" t="e">
        <f>E21^(-1/0.88)</f>
        <v>#DIV/0!</v>
      </c>
      <c r="G21">
        <v>111.72</v>
      </c>
    </row>
    <row r="22" spans="1:7" x14ac:dyDescent="0.25">
      <c r="B22">
        <v>30</v>
      </c>
      <c r="C22">
        <f t="shared" si="4"/>
        <v>119.7</v>
      </c>
      <c r="E22">
        <f t="shared" si="3"/>
        <v>0</v>
      </c>
      <c r="F22" t="e">
        <f t="shared" ref="F22:F28" si="5">E22^(-1/0.88)</f>
        <v>#DIV/0!</v>
      </c>
      <c r="G22">
        <v>119.7</v>
      </c>
    </row>
    <row r="23" spans="1:7" x14ac:dyDescent="0.25">
      <c r="B23">
        <v>32</v>
      </c>
      <c r="C23">
        <f t="shared" si="4"/>
        <v>127.68</v>
      </c>
      <c r="E23">
        <f t="shared" si="3"/>
        <v>0</v>
      </c>
      <c r="F23" t="e">
        <f t="shared" si="5"/>
        <v>#DIV/0!</v>
      </c>
      <c r="G23">
        <v>127.68</v>
      </c>
    </row>
    <row r="24" spans="1:7" x14ac:dyDescent="0.25">
      <c r="B24">
        <v>34</v>
      </c>
      <c r="C24">
        <f t="shared" si="4"/>
        <v>135.66</v>
      </c>
      <c r="E24">
        <f t="shared" si="3"/>
        <v>0</v>
      </c>
      <c r="F24" t="e">
        <f t="shared" si="5"/>
        <v>#DIV/0!</v>
      </c>
      <c r="G24">
        <v>135.66</v>
      </c>
    </row>
    <row r="25" spans="1:7" x14ac:dyDescent="0.25">
      <c r="B25">
        <v>36</v>
      </c>
      <c r="C25">
        <f t="shared" si="4"/>
        <v>143.64000000000001</v>
      </c>
      <c r="D25">
        <v>58</v>
      </c>
      <c r="E25">
        <f t="shared" si="3"/>
        <v>172.84</v>
      </c>
      <c r="F25">
        <f t="shared" si="5"/>
        <v>2.8656453041757948E-3</v>
      </c>
      <c r="G25">
        <v>143.64000000000001</v>
      </c>
    </row>
    <row r="26" spans="1:7" x14ac:dyDescent="0.25">
      <c r="B26">
        <v>38</v>
      </c>
      <c r="C26">
        <f t="shared" si="4"/>
        <v>151.62</v>
      </c>
      <c r="D26">
        <v>52</v>
      </c>
      <c r="E26">
        <f t="shared" si="3"/>
        <v>154.96</v>
      </c>
      <c r="F26">
        <f t="shared" si="5"/>
        <v>3.2442482731988519E-3</v>
      </c>
      <c r="G26">
        <v>151.62</v>
      </c>
    </row>
    <row r="27" spans="1:7" x14ac:dyDescent="0.25">
      <c r="B27">
        <v>40</v>
      </c>
      <c r="C27">
        <f t="shared" si="4"/>
        <v>159.60000000000002</v>
      </c>
      <c r="D27">
        <v>50</v>
      </c>
      <c r="E27">
        <f t="shared" si="3"/>
        <v>149</v>
      </c>
      <c r="F27">
        <f t="shared" si="5"/>
        <v>3.3921117365587512E-3</v>
      </c>
      <c r="G27">
        <v>159.60000000000002</v>
      </c>
    </row>
    <row r="28" spans="1:7" x14ac:dyDescent="0.25">
      <c r="B28">
        <v>50</v>
      </c>
      <c r="C28">
        <f t="shared" si="4"/>
        <v>199.5</v>
      </c>
      <c r="D28">
        <v>21</v>
      </c>
      <c r="E28">
        <f t="shared" si="3"/>
        <v>62.58</v>
      </c>
      <c r="F28">
        <f t="shared" si="5"/>
        <v>9.0906713218758557E-3</v>
      </c>
      <c r="G28">
        <v>199.5</v>
      </c>
    </row>
    <row r="29" spans="1:7" x14ac:dyDescent="0.25">
      <c r="B29">
        <v>60</v>
      </c>
      <c r="C29">
        <f t="shared" si="4"/>
        <v>239.4</v>
      </c>
      <c r="D29">
        <v>17</v>
      </c>
      <c r="E29">
        <f t="shared" si="3"/>
        <v>50.66</v>
      </c>
      <c r="F29">
        <f>E29^(-1/0.88)</f>
        <v>1.1557940943796448E-2</v>
      </c>
      <c r="G29">
        <v>239.4</v>
      </c>
    </row>
    <row r="30" spans="1:7" x14ac:dyDescent="0.25">
      <c r="B30">
        <v>80</v>
      </c>
      <c r="C30">
        <f t="shared" si="4"/>
        <v>319.20000000000005</v>
      </c>
      <c r="E30">
        <f t="shared" si="3"/>
        <v>0</v>
      </c>
      <c r="F30" t="e">
        <f>E30^(-1/0.88)</f>
        <v>#DIV/0!</v>
      </c>
      <c r="G30">
        <v>319.20000000000005</v>
      </c>
    </row>
    <row r="33" spans="1:7" x14ac:dyDescent="0.25">
      <c r="A33" t="s">
        <v>7</v>
      </c>
    </row>
    <row r="34" spans="1:7" x14ac:dyDescent="0.25">
      <c r="B34" t="s">
        <v>0</v>
      </c>
      <c r="C34" t="s">
        <v>4</v>
      </c>
      <c r="D34" t="s">
        <v>1</v>
      </c>
      <c r="E34" t="s">
        <v>2</v>
      </c>
      <c r="F34" t="s">
        <v>3</v>
      </c>
    </row>
    <row r="35" spans="1:7" x14ac:dyDescent="0.25">
      <c r="B35">
        <v>24</v>
      </c>
      <c r="C35">
        <f>B35*3.99</f>
        <v>95.76</v>
      </c>
      <c r="E35">
        <f t="shared" ref="E35:E46" si="6">D35*2.98</f>
        <v>0</v>
      </c>
      <c r="F35" t="e">
        <f>E35^(-1/0.88)</f>
        <v>#DIV/0!</v>
      </c>
      <c r="G35">
        <v>95.76</v>
      </c>
    </row>
    <row r="36" spans="1:7" x14ac:dyDescent="0.25">
      <c r="B36">
        <v>26</v>
      </c>
      <c r="C36">
        <f t="shared" ref="C36:C46" si="7">B36*3.99</f>
        <v>103.74000000000001</v>
      </c>
      <c r="E36">
        <f t="shared" si="6"/>
        <v>0</v>
      </c>
      <c r="F36" t="e">
        <f>E36^(-1/0.88)</f>
        <v>#DIV/0!</v>
      </c>
      <c r="G36">
        <v>103.74000000000001</v>
      </c>
    </row>
    <row r="37" spans="1:7" x14ac:dyDescent="0.25">
      <c r="B37">
        <v>28</v>
      </c>
      <c r="C37">
        <f t="shared" si="7"/>
        <v>111.72</v>
      </c>
      <c r="E37">
        <f t="shared" si="6"/>
        <v>0</v>
      </c>
      <c r="F37" t="e">
        <f>E37^(-1/0.88)</f>
        <v>#DIV/0!</v>
      </c>
      <c r="G37">
        <v>111.72</v>
      </c>
    </row>
    <row r="38" spans="1:7" x14ac:dyDescent="0.25">
      <c r="B38">
        <v>30</v>
      </c>
      <c r="C38">
        <f t="shared" si="7"/>
        <v>119.7</v>
      </c>
      <c r="E38">
        <f t="shared" si="6"/>
        <v>0</v>
      </c>
      <c r="F38" t="e">
        <f t="shared" ref="F38:F44" si="8">E38^(-1/0.88)</f>
        <v>#DIV/0!</v>
      </c>
      <c r="G38">
        <v>119.7</v>
      </c>
    </row>
    <row r="39" spans="1:7" x14ac:dyDescent="0.25">
      <c r="B39">
        <v>32</v>
      </c>
      <c r="C39">
        <f t="shared" si="7"/>
        <v>127.68</v>
      </c>
      <c r="E39">
        <f t="shared" si="6"/>
        <v>0</v>
      </c>
      <c r="F39" t="e">
        <f t="shared" si="8"/>
        <v>#DIV/0!</v>
      </c>
      <c r="G39">
        <v>127.68</v>
      </c>
    </row>
    <row r="40" spans="1:7" x14ac:dyDescent="0.25">
      <c r="B40">
        <v>34</v>
      </c>
      <c r="C40">
        <f t="shared" si="7"/>
        <v>135.66</v>
      </c>
      <c r="E40">
        <f t="shared" si="6"/>
        <v>0</v>
      </c>
      <c r="F40" t="e">
        <f t="shared" si="8"/>
        <v>#DIV/0!</v>
      </c>
      <c r="G40">
        <v>135.66</v>
      </c>
    </row>
    <row r="41" spans="1:7" x14ac:dyDescent="0.25">
      <c r="B41">
        <v>36</v>
      </c>
      <c r="C41">
        <f t="shared" si="7"/>
        <v>143.64000000000001</v>
      </c>
      <c r="E41">
        <f t="shared" si="6"/>
        <v>0</v>
      </c>
      <c r="F41" t="e">
        <f t="shared" si="8"/>
        <v>#DIV/0!</v>
      </c>
      <c r="G41">
        <v>143.64000000000001</v>
      </c>
    </row>
    <row r="42" spans="1:7" x14ac:dyDescent="0.25">
      <c r="B42">
        <v>38</v>
      </c>
      <c r="C42">
        <f t="shared" si="7"/>
        <v>151.62</v>
      </c>
      <c r="E42">
        <f t="shared" si="6"/>
        <v>0</v>
      </c>
      <c r="F42" t="e">
        <f t="shared" si="8"/>
        <v>#DIV/0!</v>
      </c>
      <c r="G42">
        <v>151.62</v>
      </c>
    </row>
    <row r="43" spans="1:7" x14ac:dyDescent="0.25">
      <c r="B43">
        <v>40</v>
      </c>
      <c r="C43">
        <f t="shared" si="7"/>
        <v>159.60000000000002</v>
      </c>
      <c r="D43">
        <v>120</v>
      </c>
      <c r="E43">
        <f t="shared" si="6"/>
        <v>357.6</v>
      </c>
      <c r="F43">
        <f t="shared" si="8"/>
        <v>1.2543303201074511E-3</v>
      </c>
      <c r="G43">
        <v>159.60000000000002</v>
      </c>
    </row>
    <row r="44" spans="1:7" x14ac:dyDescent="0.25">
      <c r="B44">
        <v>50</v>
      </c>
      <c r="C44">
        <f t="shared" si="7"/>
        <v>199.5</v>
      </c>
      <c r="D44">
        <v>40</v>
      </c>
      <c r="E44">
        <f t="shared" si="6"/>
        <v>119.2</v>
      </c>
      <c r="F44">
        <f t="shared" si="8"/>
        <v>4.3711445081334706E-3</v>
      </c>
      <c r="G44">
        <v>199.5</v>
      </c>
    </row>
    <row r="45" spans="1:7" x14ac:dyDescent="0.25">
      <c r="B45">
        <v>60</v>
      </c>
      <c r="C45">
        <f t="shared" si="7"/>
        <v>239.4</v>
      </c>
      <c r="D45">
        <v>38</v>
      </c>
      <c r="E45">
        <f t="shared" si="6"/>
        <v>113.24</v>
      </c>
      <c r="F45">
        <f>E45^(-1/0.88)</f>
        <v>4.6335008733165064E-3</v>
      </c>
      <c r="G45">
        <v>239.4</v>
      </c>
    </row>
    <row r="46" spans="1:7" x14ac:dyDescent="0.25">
      <c r="B46">
        <v>80</v>
      </c>
      <c r="C46">
        <f t="shared" si="7"/>
        <v>319.20000000000005</v>
      </c>
      <c r="D46">
        <v>18</v>
      </c>
      <c r="E46">
        <f t="shared" si="6"/>
        <v>53.64</v>
      </c>
      <c r="F46">
        <f>E46^(-1/0.88)</f>
        <v>1.0831082234429018E-2</v>
      </c>
      <c r="G46">
        <v>319.20000000000005</v>
      </c>
    </row>
    <row r="49" spans="1:7" x14ac:dyDescent="0.25">
      <c r="A49" t="s">
        <v>8</v>
      </c>
    </row>
    <row r="50" spans="1:7" x14ac:dyDescent="0.25">
      <c r="B50" t="s">
        <v>0</v>
      </c>
      <c r="C50" t="s">
        <v>4</v>
      </c>
      <c r="D50" t="s">
        <v>1</v>
      </c>
      <c r="E50" t="s">
        <v>2</v>
      </c>
      <c r="F50" t="s">
        <v>3</v>
      </c>
    </row>
    <row r="51" spans="1:7" x14ac:dyDescent="0.25">
      <c r="B51">
        <v>24</v>
      </c>
      <c r="C51">
        <f>B51*3.99</f>
        <v>95.76</v>
      </c>
      <c r="E51">
        <f t="shared" ref="E51:E62" si="9">D51*2.98</f>
        <v>0</v>
      </c>
      <c r="F51" t="e">
        <f>E51^(-1/0.88)</f>
        <v>#DIV/0!</v>
      </c>
      <c r="G51">
        <v>95.76</v>
      </c>
    </row>
    <row r="52" spans="1:7" x14ac:dyDescent="0.25">
      <c r="B52">
        <v>26</v>
      </c>
      <c r="C52">
        <f t="shared" ref="C52:C62" si="10">B52*3.99</f>
        <v>103.74000000000001</v>
      </c>
      <c r="E52">
        <f t="shared" si="9"/>
        <v>0</v>
      </c>
      <c r="F52" t="e">
        <f>E52^(-1/0.88)</f>
        <v>#DIV/0!</v>
      </c>
      <c r="G52">
        <v>103.74000000000001</v>
      </c>
    </row>
    <row r="53" spans="1:7" x14ac:dyDescent="0.25">
      <c r="B53">
        <v>28</v>
      </c>
      <c r="C53">
        <f t="shared" si="10"/>
        <v>111.72</v>
      </c>
      <c r="E53">
        <f t="shared" si="9"/>
        <v>0</v>
      </c>
      <c r="F53" t="e">
        <f>E53^(-1/0.88)</f>
        <v>#DIV/0!</v>
      </c>
      <c r="G53">
        <v>111.72</v>
      </c>
    </row>
    <row r="54" spans="1:7" x14ac:dyDescent="0.25">
      <c r="B54">
        <v>30</v>
      </c>
      <c r="C54">
        <f t="shared" si="10"/>
        <v>119.7</v>
      </c>
      <c r="E54">
        <f t="shared" si="9"/>
        <v>0</v>
      </c>
      <c r="F54" t="e">
        <f t="shared" ref="F54:F60" si="11">E54^(-1/0.88)</f>
        <v>#DIV/0!</v>
      </c>
      <c r="G54">
        <v>119.7</v>
      </c>
    </row>
    <row r="55" spans="1:7" x14ac:dyDescent="0.25">
      <c r="B55">
        <v>32</v>
      </c>
      <c r="C55">
        <f t="shared" si="10"/>
        <v>127.68</v>
      </c>
      <c r="E55">
        <f t="shared" si="9"/>
        <v>0</v>
      </c>
      <c r="F55" t="e">
        <f t="shared" si="11"/>
        <v>#DIV/0!</v>
      </c>
      <c r="G55">
        <v>127.68</v>
      </c>
    </row>
    <row r="56" spans="1:7" x14ac:dyDescent="0.25">
      <c r="B56">
        <v>34</v>
      </c>
      <c r="C56">
        <f t="shared" si="10"/>
        <v>135.66</v>
      </c>
      <c r="E56">
        <f t="shared" si="9"/>
        <v>0</v>
      </c>
      <c r="F56" t="e">
        <f t="shared" si="11"/>
        <v>#DIV/0!</v>
      </c>
      <c r="G56">
        <v>135.66</v>
      </c>
    </row>
    <row r="57" spans="1:7" x14ac:dyDescent="0.25">
      <c r="B57">
        <v>36</v>
      </c>
      <c r="C57">
        <f t="shared" si="10"/>
        <v>143.64000000000001</v>
      </c>
      <c r="E57">
        <f t="shared" si="9"/>
        <v>0</v>
      </c>
      <c r="F57" t="e">
        <f t="shared" si="11"/>
        <v>#DIV/0!</v>
      </c>
      <c r="G57">
        <v>143.64000000000001</v>
      </c>
    </row>
    <row r="58" spans="1:7" x14ac:dyDescent="0.25">
      <c r="B58">
        <v>38</v>
      </c>
      <c r="C58">
        <f t="shared" si="10"/>
        <v>151.62</v>
      </c>
      <c r="E58">
        <f t="shared" si="9"/>
        <v>0</v>
      </c>
      <c r="F58" t="e">
        <f t="shared" si="11"/>
        <v>#DIV/0!</v>
      </c>
      <c r="G58">
        <v>151.62</v>
      </c>
    </row>
    <row r="59" spans="1:7" x14ac:dyDescent="0.25">
      <c r="B59">
        <v>40</v>
      </c>
      <c r="C59">
        <f t="shared" si="10"/>
        <v>159.60000000000002</v>
      </c>
      <c r="D59">
        <v>363</v>
      </c>
      <c r="E59">
        <f t="shared" si="9"/>
        <v>1081.74</v>
      </c>
      <c r="F59">
        <f t="shared" si="11"/>
        <v>3.5656037723447696E-4</v>
      </c>
      <c r="G59">
        <v>159.60000000000002</v>
      </c>
    </row>
    <row r="60" spans="1:7" x14ac:dyDescent="0.25">
      <c r="B60">
        <v>50</v>
      </c>
      <c r="C60">
        <f t="shared" si="10"/>
        <v>199.5</v>
      </c>
      <c r="D60">
        <v>94</v>
      </c>
      <c r="E60">
        <f t="shared" si="9"/>
        <v>280.12</v>
      </c>
      <c r="F60">
        <f t="shared" si="11"/>
        <v>1.6554922004921116E-3</v>
      </c>
      <c r="G60">
        <v>199.5</v>
      </c>
    </row>
    <row r="61" spans="1:7" x14ac:dyDescent="0.25">
      <c r="B61">
        <v>60</v>
      </c>
      <c r="C61">
        <f t="shared" si="10"/>
        <v>239.4</v>
      </c>
      <c r="D61">
        <v>76</v>
      </c>
      <c r="E61">
        <f t="shared" si="9"/>
        <v>226.48</v>
      </c>
      <c r="F61">
        <f>E61^(-1/0.88)</f>
        <v>2.1078014973171261E-3</v>
      </c>
      <c r="G61">
        <v>239.4</v>
      </c>
    </row>
    <row r="62" spans="1:7" x14ac:dyDescent="0.25">
      <c r="B62">
        <v>80</v>
      </c>
      <c r="C62">
        <f t="shared" si="10"/>
        <v>319.20000000000005</v>
      </c>
      <c r="D62">
        <v>52</v>
      </c>
      <c r="E62">
        <f t="shared" si="9"/>
        <v>154.96</v>
      </c>
      <c r="F62">
        <f>E62^(-1/0.88)</f>
        <v>3.2442482731988519E-3</v>
      </c>
      <c r="G62">
        <v>319.20000000000005</v>
      </c>
    </row>
    <row r="64" spans="1:7" x14ac:dyDescent="0.25">
      <c r="A64" t="s">
        <v>9</v>
      </c>
    </row>
    <row r="65" spans="1:7" x14ac:dyDescent="0.25">
      <c r="B65" t="s">
        <v>0</v>
      </c>
      <c r="C65" t="s">
        <v>4</v>
      </c>
      <c r="D65" t="s">
        <v>1</v>
      </c>
      <c r="E65" t="s">
        <v>2</v>
      </c>
      <c r="F65" t="s">
        <v>3</v>
      </c>
    </row>
    <row r="66" spans="1:7" x14ac:dyDescent="0.25">
      <c r="B66">
        <v>24</v>
      </c>
      <c r="C66">
        <f>B66*3.99</f>
        <v>95.76</v>
      </c>
      <c r="E66">
        <f t="shared" ref="E66:E77" si="12">D66*2.98</f>
        <v>0</v>
      </c>
      <c r="F66" t="e">
        <f>E66^(-1/0.88)</f>
        <v>#DIV/0!</v>
      </c>
      <c r="G66">
        <v>95.76</v>
      </c>
    </row>
    <row r="67" spans="1:7" x14ac:dyDescent="0.25">
      <c r="B67">
        <v>26</v>
      </c>
      <c r="C67">
        <f t="shared" ref="C67:C77" si="13">B67*3.99</f>
        <v>103.74000000000001</v>
      </c>
      <c r="E67">
        <f t="shared" si="12"/>
        <v>0</v>
      </c>
      <c r="F67" t="e">
        <f>E67^(-1/0.88)</f>
        <v>#DIV/0!</v>
      </c>
      <c r="G67">
        <v>103.74000000000001</v>
      </c>
    </row>
    <row r="68" spans="1:7" x14ac:dyDescent="0.25">
      <c r="B68">
        <v>28</v>
      </c>
      <c r="C68">
        <f t="shared" si="13"/>
        <v>111.72</v>
      </c>
      <c r="E68">
        <f t="shared" si="12"/>
        <v>0</v>
      </c>
      <c r="F68" t="e">
        <f>E68^(-1/0.88)</f>
        <v>#DIV/0!</v>
      </c>
      <c r="G68">
        <v>111.72</v>
      </c>
    </row>
    <row r="69" spans="1:7" x14ac:dyDescent="0.25">
      <c r="B69">
        <v>30</v>
      </c>
      <c r="C69">
        <f t="shared" si="13"/>
        <v>119.7</v>
      </c>
      <c r="E69">
        <f t="shared" si="12"/>
        <v>0</v>
      </c>
      <c r="F69" t="e">
        <f t="shared" ref="F69:F75" si="14">E69^(-1/0.88)</f>
        <v>#DIV/0!</v>
      </c>
      <c r="G69">
        <v>119.7</v>
      </c>
    </row>
    <row r="70" spans="1:7" x14ac:dyDescent="0.25">
      <c r="B70">
        <v>32</v>
      </c>
      <c r="C70">
        <f t="shared" si="13"/>
        <v>127.68</v>
      </c>
      <c r="D70">
        <v>380</v>
      </c>
      <c r="E70">
        <f t="shared" si="12"/>
        <v>1132.4000000000001</v>
      </c>
      <c r="F70">
        <f t="shared" si="14"/>
        <v>3.3848982072749961E-4</v>
      </c>
      <c r="G70">
        <v>127.68</v>
      </c>
    </row>
    <row r="71" spans="1:7" x14ac:dyDescent="0.25">
      <c r="B71">
        <v>34</v>
      </c>
      <c r="C71">
        <f t="shared" si="13"/>
        <v>135.66</v>
      </c>
      <c r="D71">
        <v>290</v>
      </c>
      <c r="E71">
        <f t="shared" si="12"/>
        <v>864.2</v>
      </c>
      <c r="F71">
        <f t="shared" si="14"/>
        <v>4.6019123077467204E-4</v>
      </c>
      <c r="G71">
        <v>135.66</v>
      </c>
    </row>
    <row r="72" spans="1:7" x14ac:dyDescent="0.25">
      <c r="B72">
        <v>36</v>
      </c>
      <c r="C72">
        <f t="shared" si="13"/>
        <v>143.64000000000001</v>
      </c>
      <c r="D72">
        <v>288</v>
      </c>
      <c r="E72">
        <f t="shared" si="12"/>
        <v>858.24</v>
      </c>
      <c r="F72">
        <f t="shared" si="14"/>
        <v>4.6382450642295164E-4</v>
      </c>
      <c r="G72">
        <v>143.64000000000001</v>
      </c>
    </row>
    <row r="73" spans="1:7" x14ac:dyDescent="0.25">
      <c r="B73">
        <v>38</v>
      </c>
      <c r="C73">
        <f t="shared" si="13"/>
        <v>151.62</v>
      </c>
      <c r="D73">
        <v>245</v>
      </c>
      <c r="E73">
        <f t="shared" si="12"/>
        <v>730.1</v>
      </c>
      <c r="F73">
        <f t="shared" si="14"/>
        <v>5.5738646972540136E-4</v>
      </c>
      <c r="G73">
        <v>151.62</v>
      </c>
    </row>
    <row r="74" spans="1:7" x14ac:dyDescent="0.25">
      <c r="B74">
        <v>40</v>
      </c>
      <c r="C74">
        <f t="shared" si="13"/>
        <v>159.60000000000002</v>
      </c>
      <c r="D74">
        <v>190</v>
      </c>
      <c r="E74">
        <f t="shared" si="12"/>
        <v>566.20000000000005</v>
      </c>
      <c r="F74">
        <f t="shared" si="14"/>
        <v>7.4408946096011185E-4</v>
      </c>
      <c r="G74">
        <v>159.60000000000002</v>
      </c>
    </row>
    <row r="75" spans="1:7" x14ac:dyDescent="0.25">
      <c r="B75">
        <v>50</v>
      </c>
      <c r="C75">
        <f t="shared" si="13"/>
        <v>199.5</v>
      </c>
      <c r="D75">
        <v>116</v>
      </c>
      <c r="E75">
        <f t="shared" si="12"/>
        <v>345.68</v>
      </c>
      <c r="F75">
        <f t="shared" si="14"/>
        <v>1.3035956241437261E-3</v>
      </c>
      <c r="G75">
        <v>199.5</v>
      </c>
    </row>
    <row r="76" spans="1:7" x14ac:dyDescent="0.25">
      <c r="B76">
        <v>60</v>
      </c>
      <c r="C76">
        <f t="shared" si="13"/>
        <v>239.4</v>
      </c>
      <c r="D76">
        <v>44</v>
      </c>
      <c r="E76">
        <f t="shared" si="12"/>
        <v>131.12</v>
      </c>
      <c r="F76">
        <f>E76^(-1/0.88)</f>
        <v>3.922455471491895E-3</v>
      </c>
      <c r="G76">
        <v>239.4</v>
      </c>
    </row>
    <row r="77" spans="1:7" x14ac:dyDescent="0.25">
      <c r="B77">
        <v>80</v>
      </c>
      <c r="C77">
        <f t="shared" si="13"/>
        <v>319.20000000000005</v>
      </c>
      <c r="D77">
        <v>33</v>
      </c>
      <c r="E77">
        <f t="shared" si="12"/>
        <v>98.34</v>
      </c>
      <c r="F77">
        <f>E77^(-1/0.88)</f>
        <v>5.4391853589170489E-3</v>
      </c>
      <c r="G77">
        <v>319.20000000000005</v>
      </c>
    </row>
    <row r="79" spans="1:7" x14ac:dyDescent="0.25">
      <c r="A79" t="s">
        <v>10</v>
      </c>
    </row>
    <row r="80" spans="1:7" x14ac:dyDescent="0.25">
      <c r="B80" t="s">
        <v>0</v>
      </c>
      <c r="C80" t="s">
        <v>4</v>
      </c>
      <c r="D80" t="s">
        <v>1</v>
      </c>
      <c r="E80" t="s">
        <v>2</v>
      </c>
      <c r="F80" t="s">
        <v>3</v>
      </c>
    </row>
    <row r="81" spans="2:7" x14ac:dyDescent="0.25">
      <c r="B81">
        <v>24</v>
      </c>
      <c r="C81">
        <f>B81*3.99</f>
        <v>95.76</v>
      </c>
      <c r="E81">
        <f t="shared" ref="E81:E92" si="15">D81*2.98</f>
        <v>0</v>
      </c>
      <c r="F81" t="e">
        <f>E81^(-1/0.88)</f>
        <v>#DIV/0!</v>
      </c>
      <c r="G81">
        <v>95.76</v>
      </c>
    </row>
    <row r="82" spans="2:7" x14ac:dyDescent="0.25">
      <c r="B82">
        <v>26</v>
      </c>
      <c r="C82">
        <f t="shared" ref="C82:C92" si="16">B82*3.99</f>
        <v>103.74000000000001</v>
      </c>
      <c r="E82">
        <f t="shared" si="15"/>
        <v>0</v>
      </c>
      <c r="F82" t="e">
        <f>E82^(-1/0.88)</f>
        <v>#DIV/0!</v>
      </c>
      <c r="G82">
        <v>103.74000000000001</v>
      </c>
    </row>
    <row r="83" spans="2:7" x14ac:dyDescent="0.25">
      <c r="B83">
        <v>28</v>
      </c>
      <c r="C83">
        <f t="shared" si="16"/>
        <v>111.72</v>
      </c>
      <c r="E83">
        <f t="shared" si="15"/>
        <v>0</v>
      </c>
      <c r="F83" t="e">
        <f>E83^(-1/0.88)</f>
        <v>#DIV/0!</v>
      </c>
      <c r="G83">
        <v>111.72</v>
      </c>
    </row>
    <row r="84" spans="2:7" x14ac:dyDescent="0.25">
      <c r="B84">
        <v>30</v>
      </c>
      <c r="C84">
        <f t="shared" si="16"/>
        <v>119.7</v>
      </c>
      <c r="E84">
        <f t="shared" si="15"/>
        <v>0</v>
      </c>
      <c r="F84" t="e">
        <f t="shared" ref="F84:F90" si="17">E84^(-1/0.88)</f>
        <v>#DIV/0!</v>
      </c>
      <c r="G84">
        <v>119.7</v>
      </c>
    </row>
    <row r="85" spans="2:7" x14ac:dyDescent="0.25">
      <c r="B85">
        <v>32</v>
      </c>
      <c r="C85">
        <f t="shared" si="16"/>
        <v>127.68</v>
      </c>
      <c r="D85">
        <v>53</v>
      </c>
      <c r="E85">
        <f t="shared" si="15"/>
        <v>157.94</v>
      </c>
      <c r="F85">
        <f t="shared" si="17"/>
        <v>3.1747788941022567E-3</v>
      </c>
      <c r="G85">
        <v>127.68</v>
      </c>
    </row>
    <row r="86" spans="2:7" x14ac:dyDescent="0.25">
      <c r="B86">
        <v>34</v>
      </c>
      <c r="C86">
        <f t="shared" si="16"/>
        <v>135.66</v>
      </c>
      <c r="D86">
        <v>40</v>
      </c>
      <c r="E86">
        <f t="shared" si="15"/>
        <v>119.2</v>
      </c>
      <c r="F86">
        <f t="shared" si="17"/>
        <v>4.3711445081334706E-3</v>
      </c>
      <c r="G86">
        <v>135.66</v>
      </c>
    </row>
    <row r="87" spans="2:7" x14ac:dyDescent="0.25">
      <c r="B87">
        <v>36</v>
      </c>
      <c r="C87">
        <f t="shared" si="16"/>
        <v>143.64000000000001</v>
      </c>
      <c r="D87">
        <v>38</v>
      </c>
      <c r="E87">
        <f t="shared" si="15"/>
        <v>113.24</v>
      </c>
      <c r="F87">
        <f t="shared" si="17"/>
        <v>4.6335008733165064E-3</v>
      </c>
      <c r="G87">
        <v>143.64000000000001</v>
      </c>
    </row>
    <row r="88" spans="2:7" x14ac:dyDescent="0.25">
      <c r="B88">
        <v>38</v>
      </c>
      <c r="C88">
        <f t="shared" si="16"/>
        <v>151.62</v>
      </c>
      <c r="D88">
        <v>34</v>
      </c>
      <c r="E88">
        <f t="shared" si="15"/>
        <v>101.32</v>
      </c>
      <c r="F88">
        <f t="shared" si="17"/>
        <v>5.2577620881723644E-3</v>
      </c>
      <c r="G88">
        <v>151.62</v>
      </c>
    </row>
    <row r="89" spans="2:7" x14ac:dyDescent="0.25">
      <c r="B89">
        <v>40</v>
      </c>
      <c r="C89">
        <f t="shared" si="16"/>
        <v>159.60000000000002</v>
      </c>
      <c r="D89">
        <v>33</v>
      </c>
      <c r="E89">
        <f t="shared" si="15"/>
        <v>98.34</v>
      </c>
      <c r="F89">
        <f t="shared" si="17"/>
        <v>5.4391853589170489E-3</v>
      </c>
      <c r="G89">
        <v>159.60000000000002</v>
      </c>
    </row>
    <row r="90" spans="2:7" x14ac:dyDescent="0.25">
      <c r="B90">
        <v>50</v>
      </c>
      <c r="C90">
        <f t="shared" si="16"/>
        <v>199.5</v>
      </c>
      <c r="D90">
        <v>29</v>
      </c>
      <c r="E90">
        <f t="shared" si="15"/>
        <v>86.42</v>
      </c>
      <c r="F90">
        <f t="shared" si="17"/>
        <v>6.299440453199451E-3</v>
      </c>
      <c r="G90">
        <v>199.5</v>
      </c>
    </row>
    <row r="91" spans="2:7" x14ac:dyDescent="0.25">
      <c r="B91">
        <v>60</v>
      </c>
      <c r="C91">
        <f t="shared" si="16"/>
        <v>239.4</v>
      </c>
      <c r="D91">
        <v>19</v>
      </c>
      <c r="E91">
        <f t="shared" si="15"/>
        <v>56.62</v>
      </c>
      <c r="F91">
        <f>E91^(-1/0.88)</f>
        <v>1.0185650959234835E-2</v>
      </c>
      <c r="G91">
        <v>239.4</v>
      </c>
    </row>
    <row r="92" spans="2:7" x14ac:dyDescent="0.25">
      <c r="B92">
        <v>80</v>
      </c>
      <c r="C92">
        <f t="shared" si="16"/>
        <v>319.20000000000005</v>
      </c>
      <c r="E92">
        <f t="shared" si="15"/>
        <v>0</v>
      </c>
      <c r="F92" t="e">
        <f>E92^(-1/0.88)</f>
        <v>#DIV/0!</v>
      </c>
      <c r="G92">
        <v>319.20000000000005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1_100percent</vt:lpstr>
      <vt:lpstr>1_9010</vt:lpstr>
      <vt:lpstr>1_7525</vt:lpstr>
      <vt:lpstr>1_5050</vt:lpstr>
      <vt:lpstr>10_100percent</vt:lpstr>
      <vt:lpstr>10_9010</vt:lpstr>
      <vt:lpstr>10_7525</vt:lpstr>
      <vt:lpstr>10_5050</vt:lpstr>
      <vt:lpstr>30_100percent</vt:lpstr>
      <vt:lpstr>30_7525</vt:lpstr>
      <vt:lpstr>30_9010</vt:lpstr>
      <vt:lpstr>30_5050</vt:lpstr>
      <vt:lpstr>50_100</vt:lpstr>
      <vt:lpstr>50_9010</vt:lpstr>
      <vt:lpstr>50_7525</vt:lpstr>
      <vt:lpstr>50_5050</vt:lpstr>
      <vt:lpstr>100_100</vt:lpstr>
      <vt:lpstr>100_9010</vt:lpstr>
      <vt:lpstr>100_7525</vt:lpstr>
      <vt:lpstr>100_5050</vt:lpstr>
      <vt:lpstr>Summary</vt:lpstr>
      <vt:lpstr>Pore size analysis</vt:lpstr>
      <vt:lpstr>Percentage porosity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</dc:creator>
  <cp:lastModifiedBy>Jenny</cp:lastModifiedBy>
  <dcterms:created xsi:type="dcterms:W3CDTF">2016-09-08T09:57:28Z</dcterms:created>
  <dcterms:modified xsi:type="dcterms:W3CDTF">2017-03-14T16:14:28Z</dcterms:modified>
</cp:coreProperties>
</file>